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ared drives\WMSD-CBG Confidential\Fuel Emission Models\CARBOB Model\"/>
    </mc:Choice>
  </mc:AlternateContent>
  <bookViews>
    <workbookView xWindow="0" yWindow="0" windowWidth="14160" windowHeight="10380"/>
  </bookViews>
  <sheets>
    <sheet name="Phase 2 CARBOB for PM Flat" sheetId="1" r:id="rId1"/>
    <sheet name="Phase 2 PM for (ETOH Min)" sheetId="2" r:id="rId2"/>
    <sheet name="Phase 2 PM for (ETOH Max)" sheetId="3" r:id="rId3"/>
    <sheet name="PM Flat Batch (Report)" sheetId="4" r:id="rId4"/>
    <sheet name="PM Flat Batch (Data)" sheetId="5" r:id="rId5"/>
  </sheets>
  <definedNames>
    <definedName name="INPUT" localSheetId="2">'Phase 2 PM for (ETOH Max)'!$A$20</definedName>
    <definedName name="INPUT" localSheetId="1">'Phase 2 PM for (ETOH Min)'!$A$20</definedName>
    <definedName name="INPUT">#REF!</definedName>
    <definedName name="OUTPUT" localSheetId="2">'Phase 2 PM for (ETOH Max)'!$B$52</definedName>
    <definedName name="OUTPUT" localSheetId="1">'Phase 2 PM for (ETOH Min)'!$B$52</definedName>
    <definedName name="OUTPUT">#REF!</definedName>
  </definedNames>
  <calcPr calcId="162913"/>
  <extLst>
    <ext uri="GoogleSheetsCustomDataVersion1">
      <go:sheetsCustomData xmlns:go="http://customooxmlschemas.google.com/" r:id="rId9" roundtripDataSignature="AMtx7mjWm5NApyMRnLVyjiWbWiKrIuF0nA=="/>
    </ext>
  </extLst>
</workbook>
</file>

<file path=xl/calcChain.xml><?xml version="1.0" encoding="utf-8"?>
<calcChain xmlns="http://schemas.openxmlformats.org/spreadsheetml/2006/main">
  <c r="C9" i="5" l="1"/>
  <c r="B6" i="5"/>
  <c r="C5" i="5"/>
  <c r="I2" i="5"/>
  <c r="G2" i="5"/>
  <c r="F2" i="5"/>
  <c r="E2" i="5"/>
  <c r="H2" i="5" s="1"/>
  <c r="D2" i="5"/>
  <c r="B2" i="5"/>
  <c r="A2" i="5"/>
  <c r="A42" i="4"/>
  <c r="C27" i="4"/>
  <c r="B9" i="5" s="1"/>
  <c r="B27" i="4"/>
  <c r="C26" i="4"/>
  <c r="B8" i="5" s="1"/>
  <c r="B26" i="4"/>
  <c r="C8" i="5" s="1"/>
  <c r="D25" i="4"/>
  <c r="B16" i="5" s="1"/>
  <c r="C25" i="4"/>
  <c r="B7" i="5" s="1"/>
  <c r="B25" i="4"/>
  <c r="C7" i="5" s="1"/>
  <c r="D24" i="4"/>
  <c r="B15" i="5" s="1"/>
  <c r="C24" i="4"/>
  <c r="B24" i="4"/>
  <c r="C6" i="5" s="1"/>
  <c r="D23" i="4"/>
  <c r="B14" i="5" s="1"/>
  <c r="C23" i="4"/>
  <c r="B5" i="5" s="1"/>
  <c r="B23" i="4"/>
  <c r="D22" i="4"/>
  <c r="B13" i="5" s="1"/>
  <c r="C22" i="4"/>
  <c r="B4" i="5" s="1"/>
  <c r="B22" i="4"/>
  <c r="C4" i="5" s="1"/>
  <c r="C21" i="4"/>
  <c r="B3" i="5" s="1"/>
  <c r="G18" i="4"/>
  <c r="G17" i="4"/>
  <c r="A255" i="3"/>
  <c r="H226" i="3"/>
  <c r="G226" i="3"/>
  <c r="F226" i="3"/>
  <c r="E226" i="3"/>
  <c r="C226" i="3"/>
  <c r="B226" i="3"/>
  <c r="B224" i="3"/>
  <c r="B242" i="3" s="1"/>
  <c r="B197" i="3"/>
  <c r="C224" i="3" s="1"/>
  <c r="C242" i="3" s="1"/>
  <c r="A161" i="3"/>
  <c r="H132" i="3"/>
  <c r="G132" i="3"/>
  <c r="F132" i="3"/>
  <c r="E132" i="3"/>
  <c r="C132" i="3"/>
  <c r="B132" i="3"/>
  <c r="C130" i="3"/>
  <c r="C148" i="3" s="1"/>
  <c r="B42" i="3"/>
  <c r="B41" i="3"/>
  <c r="B103" i="3" s="1"/>
  <c r="B130" i="3" s="1"/>
  <c r="B148" i="3" s="1"/>
  <c r="B40" i="3"/>
  <c r="B195" i="3" s="1"/>
  <c r="B39" i="3"/>
  <c r="B100" i="3" s="1"/>
  <c r="B38" i="3"/>
  <c r="B37" i="3"/>
  <c r="B192" i="3" s="1"/>
  <c r="C219" i="3" s="1"/>
  <c r="A255" i="2"/>
  <c r="H226" i="2"/>
  <c r="G226" i="2"/>
  <c r="F226" i="2"/>
  <c r="E226" i="2"/>
  <c r="C226" i="2"/>
  <c r="B226" i="2"/>
  <c r="A161" i="2"/>
  <c r="H132" i="2"/>
  <c r="G132" i="2"/>
  <c r="F132" i="2"/>
  <c r="E132" i="2"/>
  <c r="C132" i="2"/>
  <c r="B132" i="2"/>
  <c r="B99" i="2"/>
  <c r="D42" i="2"/>
  <c r="B42" i="2"/>
  <c r="B198" i="2" s="1"/>
  <c r="B41" i="2"/>
  <c r="D40" i="2"/>
  <c r="B40" i="2"/>
  <c r="D39" i="2"/>
  <c r="B39" i="2"/>
  <c r="D38" i="2"/>
  <c r="B38" i="2"/>
  <c r="B193" i="2" s="1"/>
  <c r="B37" i="2"/>
  <c r="K54" i="1"/>
  <c r="O51" i="1"/>
  <c r="L51" i="1"/>
  <c r="J51" i="1"/>
  <c r="P50" i="1"/>
  <c r="B29" i="3" s="1"/>
  <c r="E50" i="1" s="1"/>
  <c r="O50" i="1"/>
  <c r="M50" i="1"/>
  <c r="B29" i="2" s="1"/>
  <c r="L50" i="1"/>
  <c r="J50" i="1"/>
  <c r="L49" i="1"/>
  <c r="C27" i="2" s="1"/>
  <c r="E49" i="1"/>
  <c r="O49" i="1" s="1"/>
  <c r="C27" i="3" s="1"/>
  <c r="O48" i="1"/>
  <c r="B27" i="3" s="1"/>
  <c r="L48" i="1"/>
  <c r="B27" i="2" s="1"/>
  <c r="O47" i="1"/>
  <c r="G28" i="4" s="1"/>
  <c r="L47" i="1"/>
  <c r="M51" i="1" s="1"/>
  <c r="B30" i="2" s="1"/>
  <c r="P46" i="1"/>
  <c r="B25" i="3" s="1"/>
  <c r="O46" i="1"/>
  <c r="M46" i="1"/>
  <c r="B25" i="2" s="1"/>
  <c r="L46" i="1"/>
  <c r="J46" i="1"/>
  <c r="O45" i="1"/>
  <c r="P45" i="1" s="1"/>
  <c r="B24" i="3" s="1"/>
  <c r="L45" i="1"/>
  <c r="J45" i="1"/>
  <c r="O44" i="1"/>
  <c r="P44" i="1" s="1"/>
  <c r="B23" i="3" s="1"/>
  <c r="M44" i="1"/>
  <c r="B23" i="2" s="1"/>
  <c r="L44" i="1"/>
  <c r="P43" i="1"/>
  <c r="B22" i="3" s="1"/>
  <c r="O43" i="1"/>
  <c r="M43" i="1"/>
  <c r="B22" i="2" s="1"/>
  <c r="L43" i="1"/>
  <c r="O42" i="1"/>
  <c r="P42" i="1" s="1"/>
  <c r="Q42" i="1" s="1"/>
  <c r="L42" i="1"/>
  <c r="M42" i="1" s="1"/>
  <c r="E42" i="1"/>
  <c r="D42" i="1"/>
  <c r="A42" i="1"/>
  <c r="F35" i="1"/>
  <c r="A35" i="1"/>
  <c r="F34" i="1"/>
  <c r="F33" i="1"/>
  <c r="D28" i="1"/>
  <c r="D27" i="1"/>
  <c r="D26" i="1"/>
  <c r="D25" i="1"/>
  <c r="D24" i="1"/>
  <c r="D23" i="1"/>
  <c r="E24" i="4" l="1"/>
  <c r="C195" i="2"/>
  <c r="C101" i="2"/>
  <c r="D46" i="1"/>
  <c r="F25" i="2"/>
  <c r="E30" i="4"/>
  <c r="B12" i="5" s="1"/>
  <c r="E84" i="2"/>
  <c r="E82" i="2"/>
  <c r="D84" i="2"/>
  <c r="D82" i="2"/>
  <c r="C84" i="2"/>
  <c r="C82" i="2"/>
  <c r="B84" i="2"/>
  <c r="D83" i="2"/>
  <c r="E80" i="2"/>
  <c r="C83" i="2"/>
  <c r="D80" i="2"/>
  <c r="B83" i="2"/>
  <c r="C80" i="2"/>
  <c r="B82" i="2"/>
  <c r="B80" i="2"/>
  <c r="E81" i="2"/>
  <c r="E79" i="2"/>
  <c r="D81" i="2"/>
  <c r="D79" i="2"/>
  <c r="C81" i="2"/>
  <c r="C79" i="2"/>
  <c r="C85" i="2" s="1"/>
  <c r="B196" i="2" s="1"/>
  <c r="E83" i="2"/>
  <c r="B81" i="2"/>
  <c r="B79" i="2"/>
  <c r="B85" i="2" s="1"/>
  <c r="B102" i="2" s="1"/>
  <c r="F28" i="2"/>
  <c r="G27" i="4"/>
  <c r="F23" i="3"/>
  <c r="C193" i="3"/>
  <c r="C99" i="3"/>
  <c r="E44" i="1"/>
  <c r="F27" i="3"/>
  <c r="C197" i="2"/>
  <c r="C103" i="2"/>
  <c r="E25" i="4"/>
  <c r="D50" i="1"/>
  <c r="F29" i="2"/>
  <c r="E84" i="3"/>
  <c r="E82" i="3"/>
  <c r="E80" i="3"/>
  <c r="F28" i="3"/>
  <c r="C84" i="3"/>
  <c r="C82" i="3"/>
  <c r="C80" i="3"/>
  <c r="B84" i="3"/>
  <c r="B82" i="3"/>
  <c r="B80" i="3"/>
  <c r="E83" i="3"/>
  <c r="E81" i="3"/>
  <c r="E79" i="3"/>
  <c r="D83" i="3"/>
  <c r="D81" i="3"/>
  <c r="D79" i="3"/>
  <c r="C83" i="3"/>
  <c r="C81" i="3"/>
  <c r="C79" i="3"/>
  <c r="C85" i="3" s="1"/>
  <c r="B196" i="3" s="1"/>
  <c r="D84" i="3"/>
  <c r="B83" i="3"/>
  <c r="D82" i="3"/>
  <c r="B81" i="3"/>
  <c r="D80" i="3"/>
  <c r="B79" i="3"/>
  <c r="E27" i="4"/>
  <c r="C193" i="2"/>
  <c r="F23" i="2"/>
  <c r="C99" i="2"/>
  <c r="D44" i="1"/>
  <c r="E23" i="4"/>
  <c r="C198" i="2"/>
  <c r="C104" i="2"/>
  <c r="F30" i="2"/>
  <c r="D51" i="1"/>
  <c r="E26" i="4"/>
  <c r="C192" i="2"/>
  <c r="C98" i="2"/>
  <c r="F22" i="2"/>
  <c r="D43" i="1"/>
  <c r="C100" i="3"/>
  <c r="C257" i="3"/>
  <c r="C163" i="3"/>
  <c r="C260" i="3"/>
  <c r="C166" i="3"/>
  <c r="F24" i="3"/>
  <c r="C194" i="3"/>
  <c r="G22" i="4"/>
  <c r="E45" i="1"/>
  <c r="G30" i="4"/>
  <c r="B11" i="5" s="1"/>
  <c r="F27" i="2"/>
  <c r="P51" i="1"/>
  <c r="B30" i="3" s="1"/>
  <c r="B194" i="2"/>
  <c r="B100" i="2"/>
  <c r="C127" i="3"/>
  <c r="B127" i="3"/>
  <c r="C98" i="3"/>
  <c r="F22" i="3"/>
  <c r="G26" i="4"/>
  <c r="C192" i="3"/>
  <c r="M45" i="1"/>
  <c r="B24" i="2" s="1"/>
  <c r="B195" i="2"/>
  <c r="B101" i="2"/>
  <c r="B104" i="2"/>
  <c r="C126" i="2"/>
  <c r="B126" i="2"/>
  <c r="B192" i="2"/>
  <c r="B98" i="2"/>
  <c r="B197" i="2"/>
  <c r="B103" i="2"/>
  <c r="E28" i="4"/>
  <c r="B10" i="5" s="1"/>
  <c r="G25" i="4"/>
  <c r="C197" i="3"/>
  <c r="F29" i="3"/>
  <c r="C103" i="3"/>
  <c r="E43" i="1"/>
  <c r="C195" i="3"/>
  <c r="C101" i="3"/>
  <c r="F25" i="3"/>
  <c r="G24" i="4"/>
  <c r="D37" i="2"/>
  <c r="D41" i="2"/>
  <c r="E46" i="1"/>
  <c r="C220" i="2"/>
  <c r="B220" i="2"/>
  <c r="C225" i="2"/>
  <c r="B225" i="2"/>
  <c r="C3" i="5"/>
  <c r="G21" i="4"/>
  <c r="E21" i="4"/>
  <c r="C229" i="3"/>
  <c r="C227" i="3"/>
  <c r="B219" i="3"/>
  <c r="D38" i="3"/>
  <c r="B193" i="3"/>
  <c r="B99" i="3"/>
  <c r="A21" i="4"/>
  <c r="B194" i="3"/>
  <c r="D39" i="3"/>
  <c r="C222" i="3"/>
  <c r="B222" i="3"/>
  <c r="D42" i="3"/>
  <c r="B198" i="3"/>
  <c r="B104" i="3"/>
  <c r="D40" i="3"/>
  <c r="B101" i="3"/>
  <c r="B98" i="3"/>
  <c r="D37" i="3"/>
  <c r="D41" i="3"/>
  <c r="C232" i="2" l="1"/>
  <c r="C235" i="2"/>
  <c r="C125" i="2"/>
  <c r="B125" i="2"/>
  <c r="H219" i="3"/>
  <c r="A256" i="3"/>
  <c r="G219" i="3" s="1"/>
  <c r="F219" i="3"/>
  <c r="E219" i="3"/>
  <c r="G23" i="4"/>
  <c r="C198" i="3"/>
  <c r="C104" i="3"/>
  <c r="F30" i="3"/>
  <c r="E51" i="1"/>
  <c r="E224" i="2"/>
  <c r="E242" i="2" s="1"/>
  <c r="A261" i="2"/>
  <c r="E85" i="2"/>
  <c r="C196" i="2" s="1"/>
  <c r="B125" i="3"/>
  <c r="C125" i="3"/>
  <c r="C223" i="3"/>
  <c r="B223" i="3"/>
  <c r="B231" i="3" s="1"/>
  <c r="A261" i="3"/>
  <c r="E224" i="3"/>
  <c r="E242" i="3" s="1"/>
  <c r="C138" i="2"/>
  <c r="H125" i="3"/>
  <c r="A162" i="3"/>
  <c r="G125" i="3" s="1"/>
  <c r="F125" i="3"/>
  <c r="E125" i="3"/>
  <c r="A164" i="3"/>
  <c r="E127" i="3"/>
  <c r="E131" i="2"/>
  <c r="A168" i="2"/>
  <c r="B85" i="3"/>
  <c r="B102" i="3" s="1"/>
  <c r="E130" i="3"/>
  <c r="E148" i="3" s="1"/>
  <c r="A167" i="3"/>
  <c r="C221" i="3"/>
  <c r="B221" i="3"/>
  <c r="A262" i="2"/>
  <c r="E225" i="2"/>
  <c r="D85" i="3"/>
  <c r="C102" i="3" s="1"/>
  <c r="E126" i="3"/>
  <c r="A163" i="3"/>
  <c r="G126" i="3" s="1"/>
  <c r="H126" i="3"/>
  <c r="F126" i="3"/>
  <c r="B223" i="2"/>
  <c r="B233" i="2" s="1"/>
  <c r="C223" i="2"/>
  <c r="E128" i="2"/>
  <c r="E146" i="2" s="1"/>
  <c r="A165" i="2"/>
  <c r="E220" i="2"/>
  <c r="H220" i="2"/>
  <c r="F220" i="2"/>
  <c r="B141" i="2"/>
  <c r="B138" i="2"/>
  <c r="B139" i="2"/>
  <c r="B140" i="2"/>
  <c r="C131" i="3"/>
  <c r="B131" i="3"/>
  <c r="C131" i="2"/>
  <c r="B131" i="2"/>
  <c r="A257" i="3"/>
  <c r="G220" i="3" s="1"/>
  <c r="H220" i="3"/>
  <c r="F220" i="3"/>
  <c r="E220" i="3"/>
  <c r="E222" i="2"/>
  <c r="E240" i="2" s="1"/>
  <c r="A259" i="2"/>
  <c r="B229" i="3"/>
  <c r="B230" i="3"/>
  <c r="B227" i="3"/>
  <c r="B219" i="2"/>
  <c r="C219" i="2"/>
  <c r="B145" i="3"/>
  <c r="B142" i="3"/>
  <c r="C225" i="3"/>
  <c r="B225" i="3"/>
  <c r="B128" i="2"/>
  <c r="B146" i="2" s="1"/>
  <c r="C128" i="2"/>
  <c r="C146" i="2" s="1"/>
  <c r="E221" i="3"/>
  <c r="A258" i="3"/>
  <c r="B126" i="3"/>
  <c r="C126" i="3"/>
  <c r="E128" i="3"/>
  <c r="E146" i="3" s="1"/>
  <c r="A165" i="3"/>
  <c r="C130" i="2"/>
  <c r="C148" i="2" s="1"/>
  <c r="B130" i="2"/>
  <c r="B148" i="2" s="1"/>
  <c r="C222" i="2"/>
  <c r="C240" i="2" s="1"/>
  <c r="B222" i="2"/>
  <c r="B240" i="2" s="1"/>
  <c r="C127" i="2"/>
  <c r="C141" i="2" s="1"/>
  <c r="B127" i="2"/>
  <c r="H125" i="2"/>
  <c r="A162" i="2"/>
  <c r="G125" i="2" s="1"/>
  <c r="F125" i="2"/>
  <c r="E125" i="2"/>
  <c r="D85" i="2"/>
  <c r="C102" i="2" s="1"/>
  <c r="C129" i="2"/>
  <c r="C139" i="2" s="1"/>
  <c r="B129" i="2"/>
  <c r="C128" i="3"/>
  <c r="C146" i="3" s="1"/>
  <c r="B128" i="3"/>
  <c r="B146" i="3" s="1"/>
  <c r="C143" i="3"/>
  <c r="C145" i="3"/>
  <c r="C142" i="3"/>
  <c r="C220" i="3"/>
  <c r="B220" i="3"/>
  <c r="B232" i="2"/>
  <c r="B234" i="2"/>
  <c r="E222" i="3"/>
  <c r="A259" i="3"/>
  <c r="C224" i="2"/>
  <c r="C242" i="2" s="1"/>
  <c r="B224" i="2"/>
  <c r="B242" i="2" s="1"/>
  <c r="E22" i="4"/>
  <c r="C260" i="2"/>
  <c r="C194" i="2"/>
  <c r="C100" i="2"/>
  <c r="C257" i="2"/>
  <c r="A257" i="2" s="1"/>
  <c r="G220" i="2" s="1"/>
  <c r="C163" i="2"/>
  <c r="A163" i="2" s="1"/>
  <c r="G126" i="2" s="1"/>
  <c r="C166" i="2"/>
  <c r="D45" i="1"/>
  <c r="F24" i="2"/>
  <c r="C221" i="2"/>
  <c r="B221" i="2"/>
  <c r="H219" i="2"/>
  <c r="A256" i="2"/>
  <c r="G219" i="2" s="1"/>
  <c r="F219" i="2"/>
  <c r="E219" i="2"/>
  <c r="F126" i="2"/>
  <c r="E126" i="2"/>
  <c r="H126" i="2"/>
  <c r="E85" i="3"/>
  <c r="C196" i="3" s="1"/>
  <c r="E130" i="2"/>
  <c r="E148" i="2" s="1"/>
  <c r="A167" i="2"/>
  <c r="G232" i="2" l="1"/>
  <c r="G140" i="2"/>
  <c r="G138" i="2"/>
  <c r="E234" i="3"/>
  <c r="E235" i="3"/>
  <c r="E232" i="3"/>
  <c r="H129" i="3"/>
  <c r="G129" i="3"/>
  <c r="G137" i="3" s="1"/>
  <c r="A166" i="3"/>
  <c r="F129" i="3" s="1"/>
  <c r="E129" i="3"/>
  <c r="F130" i="2"/>
  <c r="F148" i="2" s="1"/>
  <c r="H130" i="2"/>
  <c r="H148" i="2" s="1"/>
  <c r="G130" i="2"/>
  <c r="G148" i="2" s="1"/>
  <c r="E239" i="3"/>
  <c r="E237" i="3"/>
  <c r="E236" i="3"/>
  <c r="B129" i="3"/>
  <c r="C129" i="3"/>
  <c r="H137" i="3"/>
  <c r="H133" i="3"/>
  <c r="H135" i="3"/>
  <c r="H136" i="3"/>
  <c r="C228" i="3"/>
  <c r="C241" i="3"/>
  <c r="C231" i="3"/>
  <c r="S251" i="3" s="1"/>
  <c r="S252" i="3" s="1"/>
  <c r="B137" i="2"/>
  <c r="B133" i="2"/>
  <c r="B135" i="2"/>
  <c r="B136" i="2"/>
  <c r="G229" i="2"/>
  <c r="G230" i="2"/>
  <c r="G227" i="2"/>
  <c r="E240" i="3"/>
  <c r="E135" i="2"/>
  <c r="E136" i="2"/>
  <c r="E133" i="2"/>
  <c r="C229" i="2"/>
  <c r="C230" i="2"/>
  <c r="S251" i="2"/>
  <c r="S252" i="2" s="1"/>
  <c r="C231" i="2"/>
  <c r="C227" i="2"/>
  <c r="R251" i="2" s="1"/>
  <c r="R252" i="2" s="1"/>
  <c r="H232" i="3"/>
  <c r="C228" i="2"/>
  <c r="P251" i="2" s="1"/>
  <c r="P252" i="2" s="1"/>
  <c r="C241" i="2"/>
  <c r="G225" i="2"/>
  <c r="F225" i="2"/>
  <c r="H225" i="2"/>
  <c r="H131" i="2"/>
  <c r="G131" i="2"/>
  <c r="F131" i="2"/>
  <c r="C140" i="2"/>
  <c r="C135" i="3"/>
  <c r="C136" i="3"/>
  <c r="C133" i="3"/>
  <c r="C137" i="3"/>
  <c r="E131" i="3"/>
  <c r="A168" i="3"/>
  <c r="C137" i="2"/>
  <c r="C133" i="2"/>
  <c r="Q157" i="2" s="1"/>
  <c r="Q158" i="2" s="1"/>
  <c r="C135" i="2"/>
  <c r="C136" i="2"/>
  <c r="C232" i="3"/>
  <c r="C233" i="3"/>
  <c r="T251" i="3" s="1"/>
  <c r="T252" i="3" s="1"/>
  <c r="C234" i="3"/>
  <c r="C235" i="3"/>
  <c r="C230" i="3"/>
  <c r="Q251" i="3" s="1"/>
  <c r="Q252" i="3" s="1"/>
  <c r="H128" i="2"/>
  <c r="H146" i="2" s="1"/>
  <c r="G128" i="2"/>
  <c r="G146" i="2" s="1"/>
  <c r="F128" i="2"/>
  <c r="F146" i="2" s="1"/>
  <c r="H230" i="3"/>
  <c r="H231" i="3"/>
  <c r="H227" i="3"/>
  <c r="H229" i="3"/>
  <c r="H129" i="2"/>
  <c r="G129" i="2"/>
  <c r="G139" i="2" s="1"/>
  <c r="A166" i="2"/>
  <c r="F129" i="2" s="1"/>
  <c r="E129" i="2"/>
  <c r="F232" i="3"/>
  <c r="H223" i="3"/>
  <c r="H233" i="3" s="1"/>
  <c r="G223" i="3"/>
  <c r="A260" i="3"/>
  <c r="F223" i="3" s="1"/>
  <c r="E223" i="3"/>
  <c r="B231" i="2"/>
  <c r="B227" i="2"/>
  <c r="I251" i="2" s="1"/>
  <c r="I252" i="2" s="1"/>
  <c r="B229" i="2"/>
  <c r="K251" i="2"/>
  <c r="K252" i="2" s="1"/>
  <c r="B230" i="2"/>
  <c r="H140" i="2"/>
  <c r="H138" i="2"/>
  <c r="B239" i="2"/>
  <c r="B236" i="2"/>
  <c r="B237" i="2"/>
  <c r="B238" i="2"/>
  <c r="A258" i="2"/>
  <c r="E221" i="2"/>
  <c r="G135" i="2"/>
  <c r="G136" i="2"/>
  <c r="G137" i="2"/>
  <c r="G133" i="2"/>
  <c r="G128" i="3"/>
  <c r="G146" i="3" s="1"/>
  <c r="F128" i="3"/>
  <c r="F146" i="3" s="1"/>
  <c r="H128" i="3"/>
  <c r="H146" i="3" s="1"/>
  <c r="F232" i="2"/>
  <c r="F139" i="3"/>
  <c r="F138" i="3"/>
  <c r="B237" i="3"/>
  <c r="B238" i="3"/>
  <c r="B239" i="3"/>
  <c r="B236" i="3"/>
  <c r="E142" i="3"/>
  <c r="E143" i="3"/>
  <c r="E144" i="3"/>
  <c r="E145" i="3"/>
  <c r="B240" i="3"/>
  <c r="C234" i="2"/>
  <c r="C134" i="2"/>
  <c r="R157" i="2" s="1"/>
  <c r="R158" i="2" s="1"/>
  <c r="C147" i="2"/>
  <c r="G135" i="3"/>
  <c r="G136" i="3"/>
  <c r="G133" i="3"/>
  <c r="H230" i="2"/>
  <c r="H227" i="2"/>
  <c r="H229" i="2"/>
  <c r="A164" i="2"/>
  <c r="E127" i="2"/>
  <c r="F135" i="2"/>
  <c r="F136" i="2"/>
  <c r="F133" i="2"/>
  <c r="F137" i="2"/>
  <c r="B228" i="2"/>
  <c r="J251" i="2" s="1"/>
  <c r="J252" i="2" s="1"/>
  <c r="B241" i="2"/>
  <c r="A262" i="3"/>
  <c r="E225" i="3"/>
  <c r="C236" i="2"/>
  <c r="C237" i="2"/>
  <c r="C238" i="2"/>
  <c r="C239" i="2"/>
  <c r="H135" i="2"/>
  <c r="H136" i="2"/>
  <c r="H133" i="2"/>
  <c r="H234" i="2"/>
  <c r="H232" i="2"/>
  <c r="H138" i="3"/>
  <c r="H139" i="3"/>
  <c r="C236" i="3"/>
  <c r="C237" i="3"/>
  <c r="P251" i="3" s="1"/>
  <c r="P252" i="3" s="1"/>
  <c r="C238" i="3"/>
  <c r="C239" i="3"/>
  <c r="G127" i="3"/>
  <c r="H127" i="3"/>
  <c r="F127" i="3"/>
  <c r="A260" i="2"/>
  <c r="F223" i="2" s="1"/>
  <c r="H223" i="2"/>
  <c r="G223" i="2"/>
  <c r="G231" i="2" s="1"/>
  <c r="E223" i="2"/>
  <c r="E230" i="3"/>
  <c r="E227" i="3"/>
  <c r="E229" i="3"/>
  <c r="C233" i="2"/>
  <c r="B241" i="3"/>
  <c r="B228" i="3"/>
  <c r="K251" i="3" s="1"/>
  <c r="K252" i="3" s="1"/>
  <c r="H222" i="3"/>
  <c r="H240" i="3" s="1"/>
  <c r="F222" i="3"/>
  <c r="F240" i="3" s="1"/>
  <c r="G222" i="3"/>
  <c r="G240" i="3" s="1"/>
  <c r="G232" i="3"/>
  <c r="G233" i="3"/>
  <c r="B235" i="2"/>
  <c r="B145" i="2"/>
  <c r="I157" i="2" s="1"/>
  <c r="I158" i="2" s="1"/>
  <c r="B142" i="2"/>
  <c r="B143" i="2"/>
  <c r="B144" i="2"/>
  <c r="C139" i="3"/>
  <c r="C140" i="3"/>
  <c r="C141" i="3"/>
  <c r="C138" i="3"/>
  <c r="H222" i="2"/>
  <c r="H240" i="2" s="1"/>
  <c r="G222" i="2"/>
  <c r="G240" i="2" s="1"/>
  <c r="F222" i="2"/>
  <c r="F240" i="2" s="1"/>
  <c r="G141" i="3"/>
  <c r="G138" i="3"/>
  <c r="H130" i="3"/>
  <c r="H148" i="3" s="1"/>
  <c r="G130" i="3"/>
  <c r="G148" i="3" s="1"/>
  <c r="F130" i="3"/>
  <c r="F148" i="3" s="1"/>
  <c r="E135" i="3"/>
  <c r="E136" i="3"/>
  <c r="E137" i="3"/>
  <c r="E133" i="3"/>
  <c r="H224" i="2"/>
  <c r="H242" i="2" s="1"/>
  <c r="G224" i="2"/>
  <c r="G242" i="2" s="1"/>
  <c r="F224" i="2"/>
  <c r="F242" i="2" s="1"/>
  <c r="F229" i="3"/>
  <c r="F230" i="3"/>
  <c r="F231" i="3"/>
  <c r="F227" i="3"/>
  <c r="E229" i="2"/>
  <c r="E230" i="2"/>
  <c r="E231" i="2"/>
  <c r="E227" i="2"/>
  <c r="F221" i="3"/>
  <c r="H221" i="3"/>
  <c r="G221" i="3"/>
  <c r="C240" i="3"/>
  <c r="F229" i="2"/>
  <c r="F230" i="2"/>
  <c r="F227" i="2"/>
  <c r="B137" i="3"/>
  <c r="B133" i="3"/>
  <c r="B135" i="3"/>
  <c r="B136" i="3"/>
  <c r="E138" i="2"/>
  <c r="E140" i="2"/>
  <c r="F138" i="2"/>
  <c r="F139" i="2"/>
  <c r="F140" i="2"/>
  <c r="B233" i="3"/>
  <c r="B234" i="3"/>
  <c r="B235" i="3"/>
  <c r="B232" i="3"/>
  <c r="B134" i="2"/>
  <c r="N157" i="2" s="1"/>
  <c r="N158" i="2" s="1"/>
  <c r="B147" i="2"/>
  <c r="C145" i="2"/>
  <c r="C142" i="2"/>
  <c r="C143" i="2"/>
  <c r="C144" i="2"/>
  <c r="B141" i="3"/>
  <c r="B138" i="3"/>
  <c r="B139" i="3"/>
  <c r="B140" i="3"/>
  <c r="B143" i="3"/>
  <c r="J251" i="3"/>
  <c r="J252" i="3" s="1"/>
  <c r="E232" i="2"/>
  <c r="E233" i="2"/>
  <c r="E234" i="2"/>
  <c r="E235" i="2"/>
  <c r="E138" i="3"/>
  <c r="E139" i="3"/>
  <c r="E140" i="3"/>
  <c r="E141" i="3"/>
  <c r="F136" i="3"/>
  <c r="F137" i="3"/>
  <c r="F133" i="3"/>
  <c r="F135" i="3"/>
  <c r="H224" i="3"/>
  <c r="H242" i="3" s="1"/>
  <c r="G224" i="3"/>
  <c r="G242" i="3" s="1"/>
  <c r="F224" i="3"/>
  <c r="F242" i="3" s="1"/>
  <c r="G227" i="3"/>
  <c r="G229" i="3"/>
  <c r="G230" i="3"/>
  <c r="E142" i="2" l="1"/>
  <c r="E143" i="2"/>
  <c r="E144" i="2"/>
  <c r="E145" i="2"/>
  <c r="K157" i="2"/>
  <c r="K158" i="2" s="1"/>
  <c r="H238" i="3"/>
  <c r="U258" i="3" s="1"/>
  <c r="U259" i="3" s="1"/>
  <c r="K269" i="3" s="1"/>
  <c r="I197" i="3" s="1"/>
  <c r="H239" i="3"/>
  <c r="H236" i="3"/>
  <c r="H237" i="3"/>
  <c r="E231" i="3"/>
  <c r="H228" i="2"/>
  <c r="H241" i="2"/>
  <c r="H127" i="2"/>
  <c r="G127" i="2"/>
  <c r="F127" i="2"/>
  <c r="F234" i="2"/>
  <c r="L251" i="2"/>
  <c r="L252" i="2" s="1"/>
  <c r="F241" i="3"/>
  <c r="F228" i="3"/>
  <c r="P258" i="3" s="1"/>
  <c r="P259" i="3" s="1"/>
  <c r="K264" i="3" s="1"/>
  <c r="J192" i="3" s="1"/>
  <c r="F134" i="2"/>
  <c r="F147" i="2"/>
  <c r="T251" i="2"/>
  <c r="T252" i="2" s="1"/>
  <c r="N270" i="2" s="1"/>
  <c r="L157" i="2"/>
  <c r="L158" i="2" s="1"/>
  <c r="J157" i="2"/>
  <c r="J158" i="2" s="1"/>
  <c r="H134" i="3"/>
  <c r="H147" i="3"/>
  <c r="F241" i="2"/>
  <c r="F228" i="2"/>
  <c r="F231" i="2"/>
  <c r="F144" i="3"/>
  <c r="F145" i="3"/>
  <c r="F143" i="3"/>
  <c r="F142" i="3"/>
  <c r="H140" i="3"/>
  <c r="M251" i="3"/>
  <c r="M252" i="3" s="1"/>
  <c r="N270" i="3" s="1"/>
  <c r="M251" i="2"/>
  <c r="M252" i="2" s="1"/>
  <c r="H228" i="3"/>
  <c r="H241" i="3"/>
  <c r="H147" i="2"/>
  <c r="H134" i="2"/>
  <c r="T157" i="2"/>
  <c r="T158" i="2" s="1"/>
  <c r="S157" i="2"/>
  <c r="S158" i="2" s="1"/>
  <c r="V158" i="2" s="1"/>
  <c r="H235" i="3"/>
  <c r="U251" i="2"/>
  <c r="U252" i="2" s="1"/>
  <c r="E233" i="3"/>
  <c r="I251" i="3"/>
  <c r="I252" i="3" s="1"/>
  <c r="G147" i="3"/>
  <c r="G134" i="3"/>
  <c r="F237" i="3"/>
  <c r="F238" i="3"/>
  <c r="F239" i="3"/>
  <c r="F236" i="3"/>
  <c r="G228" i="3"/>
  <c r="G241" i="3"/>
  <c r="E141" i="2"/>
  <c r="G140" i="3"/>
  <c r="H145" i="3"/>
  <c r="H142" i="3"/>
  <c r="H144" i="3"/>
  <c r="H143" i="3"/>
  <c r="E236" i="2"/>
  <c r="E237" i="2"/>
  <c r="E238" i="2"/>
  <c r="E239" i="2"/>
  <c r="N251" i="2"/>
  <c r="N252" i="2" s="1"/>
  <c r="R251" i="3"/>
  <c r="R252" i="3" s="1"/>
  <c r="V252" i="3" s="1"/>
  <c r="U157" i="2"/>
  <c r="U158" i="2" s="1"/>
  <c r="G131" i="3"/>
  <c r="H131" i="3"/>
  <c r="R164" i="3" s="1"/>
  <c r="R165" i="3" s="1"/>
  <c r="F131" i="3"/>
  <c r="H234" i="3"/>
  <c r="M157" i="2"/>
  <c r="M158" i="2" s="1"/>
  <c r="G239" i="3"/>
  <c r="G236" i="3"/>
  <c r="G238" i="3"/>
  <c r="G237" i="3"/>
  <c r="F225" i="3"/>
  <c r="H225" i="3"/>
  <c r="S258" i="3" s="1"/>
  <c r="S259" i="3" s="1"/>
  <c r="K267" i="3" s="1"/>
  <c r="I195" i="3" s="1"/>
  <c r="G225" i="3"/>
  <c r="Q258" i="3" s="1"/>
  <c r="Q259" i="3" s="1"/>
  <c r="K265" i="3" s="1"/>
  <c r="J193" i="3" s="1"/>
  <c r="E134" i="2"/>
  <c r="L164" i="2" s="1"/>
  <c r="L165" i="2" s="1"/>
  <c r="E147" i="2"/>
  <c r="N251" i="3"/>
  <c r="N252" i="3" s="1"/>
  <c r="E238" i="3"/>
  <c r="G234" i="3"/>
  <c r="G139" i="3"/>
  <c r="G235" i="3"/>
  <c r="J258" i="3"/>
  <c r="J259" i="3" s="1"/>
  <c r="J265" i="3" s="1"/>
  <c r="N258" i="3"/>
  <c r="N259" i="3" s="1"/>
  <c r="G143" i="3"/>
  <c r="G144" i="3"/>
  <c r="G145" i="3"/>
  <c r="G142" i="3"/>
  <c r="H141" i="3"/>
  <c r="H137" i="2"/>
  <c r="Q164" i="3"/>
  <c r="Q165" i="3" s="1"/>
  <c r="F141" i="3"/>
  <c r="G221" i="2"/>
  <c r="F221" i="2"/>
  <c r="H221" i="2"/>
  <c r="H139" i="2"/>
  <c r="F235" i="3"/>
  <c r="U251" i="3"/>
  <c r="U252" i="3" s="1"/>
  <c r="L251" i="3"/>
  <c r="L252" i="3" s="1"/>
  <c r="O252" i="3" s="1"/>
  <c r="N164" i="2"/>
  <c r="N165" i="2" s="1"/>
  <c r="C147" i="3"/>
  <c r="C134" i="3"/>
  <c r="R157" i="3" s="1"/>
  <c r="R158" i="3" s="1"/>
  <c r="C144" i="3"/>
  <c r="O252" i="2"/>
  <c r="E137" i="2"/>
  <c r="G147" i="2"/>
  <c r="G134" i="2"/>
  <c r="E139" i="2"/>
  <c r="H233" i="2"/>
  <c r="H231" i="2"/>
  <c r="F140" i="3"/>
  <c r="F234" i="3"/>
  <c r="P157" i="2"/>
  <c r="P158" i="2" s="1"/>
  <c r="P157" i="3"/>
  <c r="P158" i="3" s="1"/>
  <c r="Q251" i="2"/>
  <c r="Q252" i="2" s="1"/>
  <c r="B134" i="3"/>
  <c r="B147" i="3"/>
  <c r="B144" i="3"/>
  <c r="E134" i="3"/>
  <c r="E147" i="3"/>
  <c r="G234" i="2"/>
  <c r="G241" i="2"/>
  <c r="G228" i="2"/>
  <c r="E228" i="3"/>
  <c r="L258" i="3" s="1"/>
  <c r="L259" i="3" s="1"/>
  <c r="E241" i="3"/>
  <c r="M258" i="3" s="1"/>
  <c r="M259" i="3" s="1"/>
  <c r="F233" i="2"/>
  <c r="G231" i="3"/>
  <c r="K258" i="3"/>
  <c r="K259" i="3" s="1"/>
  <c r="E228" i="2"/>
  <c r="E241" i="2"/>
  <c r="F233" i="3"/>
  <c r="F134" i="3"/>
  <c r="F147" i="3"/>
  <c r="G233" i="2"/>
  <c r="J173" i="2" l="1"/>
  <c r="G101" i="2" s="1"/>
  <c r="J267" i="3"/>
  <c r="G195" i="3" s="1"/>
  <c r="L267" i="3"/>
  <c r="K195" i="3" s="1"/>
  <c r="L268" i="3"/>
  <c r="K196" i="3" s="1"/>
  <c r="J268" i="3"/>
  <c r="G196" i="3" s="1"/>
  <c r="K172" i="3"/>
  <c r="I100" i="3" s="1"/>
  <c r="V165" i="3"/>
  <c r="J175" i="2"/>
  <c r="G103" i="2" s="1"/>
  <c r="J266" i="3"/>
  <c r="G194" i="3" s="1"/>
  <c r="O259" i="3"/>
  <c r="H193" i="3"/>
  <c r="L265" i="3"/>
  <c r="H143" i="2"/>
  <c r="H144" i="2"/>
  <c r="H145" i="2"/>
  <c r="H142" i="2"/>
  <c r="R164" i="2" s="1"/>
  <c r="R165" i="2" s="1"/>
  <c r="T164" i="2"/>
  <c r="T165" i="2" s="1"/>
  <c r="K174" i="2" s="1"/>
  <c r="I102" i="2" s="1"/>
  <c r="H141" i="2"/>
  <c r="U164" i="2" s="1"/>
  <c r="U165" i="2" s="1"/>
  <c r="N176" i="2"/>
  <c r="O158" i="2"/>
  <c r="I258" i="3"/>
  <c r="I259" i="3" s="1"/>
  <c r="J264" i="3" s="1"/>
  <c r="M258" i="2"/>
  <c r="M259" i="2" s="1"/>
  <c r="I258" i="2"/>
  <c r="I259" i="2" s="1"/>
  <c r="J264" i="2" s="1"/>
  <c r="L258" i="2"/>
  <c r="L259" i="2" s="1"/>
  <c r="K258" i="2"/>
  <c r="K259" i="2" s="1"/>
  <c r="N258" i="2"/>
  <c r="N259" i="2" s="1"/>
  <c r="G143" i="2"/>
  <c r="G144" i="2"/>
  <c r="G145" i="2"/>
  <c r="G142" i="2"/>
  <c r="G141" i="2"/>
  <c r="Q164" i="2"/>
  <c r="Q165" i="2" s="1"/>
  <c r="K171" i="2" s="1"/>
  <c r="J99" i="2" s="1"/>
  <c r="J164" i="2"/>
  <c r="J165" i="2" s="1"/>
  <c r="J171" i="2" s="1"/>
  <c r="K164" i="3"/>
  <c r="K165" i="3" s="1"/>
  <c r="M164" i="3"/>
  <c r="M165" i="3" s="1"/>
  <c r="L164" i="3"/>
  <c r="L165" i="3" s="1"/>
  <c r="T258" i="3"/>
  <c r="T259" i="3" s="1"/>
  <c r="K268" i="3" s="1"/>
  <c r="I196" i="3" s="1"/>
  <c r="R258" i="3"/>
  <c r="R259" i="3" s="1"/>
  <c r="J164" i="3"/>
  <c r="J165" i="3" s="1"/>
  <c r="J171" i="3" s="1"/>
  <c r="L269" i="3"/>
  <c r="K197" i="3" s="1"/>
  <c r="J269" i="3"/>
  <c r="G197" i="3" s="1"/>
  <c r="S164" i="3"/>
  <c r="S165" i="3" s="1"/>
  <c r="I164" i="3"/>
  <c r="I165" i="3" s="1"/>
  <c r="M164" i="2"/>
  <c r="M165" i="2" s="1"/>
  <c r="U164" i="3"/>
  <c r="U165" i="3" s="1"/>
  <c r="T164" i="3"/>
  <c r="T165" i="3" s="1"/>
  <c r="I164" i="2"/>
  <c r="I165" i="2" s="1"/>
  <c r="J170" i="2" s="1"/>
  <c r="N157" i="3"/>
  <c r="N158" i="3" s="1"/>
  <c r="K157" i="3"/>
  <c r="K158" i="3" s="1"/>
  <c r="L157" i="3"/>
  <c r="L158" i="3" s="1"/>
  <c r="I157" i="3"/>
  <c r="I158" i="3" s="1"/>
  <c r="J157" i="3"/>
  <c r="J158" i="3" s="1"/>
  <c r="H238" i="2"/>
  <c r="H239" i="2"/>
  <c r="H236" i="2"/>
  <c r="T258" i="2" s="1"/>
  <c r="T259" i="2" s="1"/>
  <c r="K268" i="2" s="1"/>
  <c r="I196" i="2" s="1"/>
  <c r="H237" i="2"/>
  <c r="H235" i="2"/>
  <c r="R258" i="2" s="1"/>
  <c r="R259" i="2" s="1"/>
  <c r="Q157" i="3"/>
  <c r="Q158" i="3" s="1"/>
  <c r="K171" i="3" s="1"/>
  <c r="J99" i="3" s="1"/>
  <c r="T157" i="3"/>
  <c r="T158" i="3" s="1"/>
  <c r="S157" i="3"/>
  <c r="S158" i="3" s="1"/>
  <c r="V158" i="3" s="1"/>
  <c r="F237" i="2"/>
  <c r="F238" i="2"/>
  <c r="F239" i="2"/>
  <c r="F236" i="2"/>
  <c r="P258" i="2" s="1"/>
  <c r="P259" i="2" s="1"/>
  <c r="K264" i="2" s="1"/>
  <c r="J192" i="2" s="1"/>
  <c r="F235" i="2"/>
  <c r="U157" i="3"/>
  <c r="U158" i="3" s="1"/>
  <c r="K164" i="2"/>
  <c r="K165" i="2" s="1"/>
  <c r="V252" i="2"/>
  <c r="J258" i="2"/>
  <c r="J259" i="2" s="1"/>
  <c r="J265" i="2" s="1"/>
  <c r="G237" i="2"/>
  <c r="G238" i="2"/>
  <c r="G239" i="2"/>
  <c r="G236" i="2"/>
  <c r="Q258" i="2"/>
  <c r="Q259" i="2" s="1"/>
  <c r="K265" i="2" s="1"/>
  <c r="J193" i="2" s="1"/>
  <c r="G235" i="2"/>
  <c r="P164" i="3"/>
  <c r="P165" i="3" s="1"/>
  <c r="K170" i="3" s="1"/>
  <c r="J98" i="3" s="1"/>
  <c r="N164" i="3"/>
  <c r="N165" i="3" s="1"/>
  <c r="F142" i="2"/>
  <c r="F143" i="2"/>
  <c r="F144" i="2"/>
  <c r="F145" i="2"/>
  <c r="F141" i="2"/>
  <c r="P164" i="2" s="1"/>
  <c r="P165" i="2" s="1"/>
  <c r="K170" i="2" s="1"/>
  <c r="J98" i="2" s="1"/>
  <c r="M157" i="3"/>
  <c r="M158" i="3" s="1"/>
  <c r="K266" i="2" l="1"/>
  <c r="I194" i="2" s="1"/>
  <c r="K172" i="2"/>
  <c r="I100" i="2" s="1"/>
  <c r="K175" i="2"/>
  <c r="I103" i="2" s="1"/>
  <c r="L175" i="2"/>
  <c r="K103" i="2" s="1"/>
  <c r="J267" i="2"/>
  <c r="G195" i="2" s="1"/>
  <c r="K176" i="3"/>
  <c r="I104" i="3" s="1"/>
  <c r="K174" i="3"/>
  <c r="I102" i="3" s="1"/>
  <c r="K266" i="3"/>
  <c r="I194" i="3" s="1"/>
  <c r="V259" i="3"/>
  <c r="K270" i="3" s="1"/>
  <c r="I198" i="3" s="1"/>
  <c r="H192" i="2"/>
  <c r="L264" i="2"/>
  <c r="S164" i="2"/>
  <c r="S165" i="2" s="1"/>
  <c r="L266" i="3"/>
  <c r="K194" i="3" s="1"/>
  <c r="H99" i="3"/>
  <c r="L171" i="3"/>
  <c r="S258" i="2"/>
  <c r="S259" i="2" s="1"/>
  <c r="K267" i="2" s="1"/>
  <c r="I195" i="2" s="1"/>
  <c r="K175" i="3"/>
  <c r="I103" i="3" s="1"/>
  <c r="J268" i="2"/>
  <c r="G196" i="2" s="1"/>
  <c r="L268" i="2"/>
  <c r="K196" i="2" s="1"/>
  <c r="L270" i="3"/>
  <c r="J270" i="3"/>
  <c r="G198" i="3" s="1"/>
  <c r="L174" i="2"/>
  <c r="K102" i="2" s="1"/>
  <c r="J174" i="2"/>
  <c r="G102" i="2" s="1"/>
  <c r="H192" i="3"/>
  <c r="L264" i="3"/>
  <c r="U258" i="2"/>
  <c r="U259" i="2" s="1"/>
  <c r="K269" i="2" s="1"/>
  <c r="I197" i="2" s="1"/>
  <c r="J170" i="3"/>
  <c r="L174" i="3"/>
  <c r="K102" i="3" s="1"/>
  <c r="J174" i="3"/>
  <c r="G102" i="3" s="1"/>
  <c r="O270" i="3"/>
  <c r="P270" i="3" s="1"/>
  <c r="J175" i="3"/>
  <c r="G103" i="3" s="1"/>
  <c r="L175" i="3"/>
  <c r="K103" i="3" s="1"/>
  <c r="L265" i="2"/>
  <c r="H193" i="2"/>
  <c r="K173" i="3"/>
  <c r="I101" i="3" s="1"/>
  <c r="L172" i="3"/>
  <c r="K100" i="3" s="1"/>
  <c r="O176" i="3"/>
  <c r="P176" i="3" s="1"/>
  <c r="J172" i="3"/>
  <c r="G100" i="3" s="1"/>
  <c r="O165" i="3"/>
  <c r="N176" i="3"/>
  <c r="O158" i="3"/>
  <c r="H99" i="2"/>
  <c r="L171" i="2"/>
  <c r="J269" i="2"/>
  <c r="G197" i="2" s="1"/>
  <c r="L170" i="2"/>
  <c r="H98" i="2"/>
  <c r="L173" i="3"/>
  <c r="K101" i="3" s="1"/>
  <c r="J173" i="3"/>
  <c r="G101" i="3" s="1"/>
  <c r="L172" i="2"/>
  <c r="K100" i="2" s="1"/>
  <c r="O176" i="2"/>
  <c r="P176" i="2" s="1"/>
  <c r="J172" i="2"/>
  <c r="G100" i="2" s="1"/>
  <c r="O165" i="2"/>
  <c r="L266" i="2"/>
  <c r="K194" i="2" s="1"/>
  <c r="J266" i="2"/>
  <c r="G194" i="2" s="1"/>
  <c r="O259" i="2"/>
  <c r="D68" i="3"/>
  <c r="E36" i="4" s="1"/>
  <c r="L193" i="3"/>
  <c r="J176" i="2" l="1"/>
  <c r="G104" i="2" s="1"/>
  <c r="L269" i="2"/>
  <c r="K197" i="2" s="1"/>
  <c r="K198" i="3"/>
  <c r="D69" i="3"/>
  <c r="E37" i="4" s="1"/>
  <c r="K173" i="2"/>
  <c r="I101" i="2" s="1"/>
  <c r="L173" i="2"/>
  <c r="K101" i="2" s="1"/>
  <c r="L267" i="2"/>
  <c r="K195" i="2" s="1"/>
  <c r="L99" i="2"/>
  <c r="D57" i="2"/>
  <c r="D36" i="4" s="1"/>
  <c r="L170" i="3"/>
  <c r="H98" i="3"/>
  <c r="D67" i="2"/>
  <c r="C35" i="4" s="1"/>
  <c r="L192" i="2"/>
  <c r="J270" i="2"/>
  <c r="G198" i="2" s="1"/>
  <c r="L193" i="2"/>
  <c r="D68" i="2"/>
  <c r="C36" i="4" s="1"/>
  <c r="D67" i="3"/>
  <c r="E35" i="4" s="1"/>
  <c r="L192" i="3"/>
  <c r="V165" i="2"/>
  <c r="K176" i="2" s="1"/>
  <c r="I104" i="2" s="1"/>
  <c r="O270" i="2"/>
  <c r="P270" i="2" s="1"/>
  <c r="J176" i="3"/>
  <c r="G104" i="3" s="1"/>
  <c r="L176" i="3"/>
  <c r="L99" i="3"/>
  <c r="D57" i="3"/>
  <c r="G36" i="4" s="1"/>
  <c r="L98" i="2"/>
  <c r="D56" i="2"/>
  <c r="D35" i="4" s="1"/>
  <c r="V259" i="2"/>
  <c r="K270" i="2" s="1"/>
  <c r="I198" i="2" s="1"/>
  <c r="L270" i="2" l="1"/>
  <c r="D58" i="3"/>
  <c r="G37" i="4" s="1"/>
  <c r="K104" i="3"/>
  <c r="A73" i="3"/>
  <c r="L98" i="3"/>
  <c r="C71" i="3"/>
  <c r="E52" i="1" s="1"/>
  <c r="D56" i="3"/>
  <c r="G35" i="4" s="1"/>
  <c r="L176" i="2"/>
  <c r="K104" i="2" l="1"/>
  <c r="D58" i="2"/>
  <c r="D37" i="4" s="1"/>
  <c r="C71" i="2"/>
  <c r="D52" i="1" s="1"/>
  <c r="A53" i="1" s="1"/>
  <c r="A73" i="2"/>
  <c r="K198" i="2"/>
  <c r="D69" i="2"/>
  <c r="C37" i="4" s="1"/>
  <c r="C56" i="1" l="1"/>
  <c r="B38" i="4" s="1"/>
  <c r="C40" i="4" s="1"/>
  <c r="A56" i="1"/>
  <c r="A59" i="1"/>
  <c r="A58" i="1"/>
  <c r="E58" i="1"/>
  <c r="A57" i="1"/>
  <c r="D56" i="1"/>
</calcChain>
</file>

<file path=xl/comments1.xml><?xml version="1.0" encoding="utf-8"?>
<comments xmlns="http://schemas.openxmlformats.org/spreadsheetml/2006/main">
  <authors>
    <author/>
  </authors>
  <commentList>
    <comment ref="B42" authorId="0" shapeId="0">
      <text>
        <r>
          <rPr>
            <sz val="10"/>
            <color rgb="FF000000"/>
            <rFont val="Arial"/>
            <scheme val="minor"/>
          </rPr>
          <t>======
ID#AAAAbD7Z3cM
RVP    (2022-06-09 20:05:54)
This number must be expressed in the nearest hundreth of a pound per square inch. (two decimals)</t>
        </r>
      </text>
    </comment>
    <comment ref="B43" authorId="0" shapeId="0">
      <text>
        <r>
          <rPr>
            <sz val="10"/>
            <color rgb="FF000000"/>
            <rFont val="Arial"/>
            <scheme val="minor"/>
          </rPr>
          <t>======
ID#AAAAbD7Z3co
T50    (2022-06-09 20:05:54)
This number must be expressed in the nearest degree Fahrenheit. (no decimals)</t>
        </r>
      </text>
    </comment>
    <comment ref="B44" authorId="0" shapeId="0">
      <text>
        <r>
          <rPr>
            <sz val="10"/>
            <color rgb="FF000000"/>
            <rFont val="Arial"/>
            <scheme val="minor"/>
          </rPr>
          <t>======
ID#AAAAbD7Z3cY
T90    (2022-06-09 20:05:54)
This number must be expressed in the nearest degree Fahrenheit. (no decimals)</t>
        </r>
      </text>
    </comment>
    <comment ref="B45" authorId="0" shapeId="0">
      <text>
        <r>
          <rPr>
            <sz val="10"/>
            <color rgb="FF000000"/>
            <rFont val="Arial"/>
            <scheme val="minor"/>
          </rPr>
          <t>======
ID#AAAAbD7Z3cU
Aromatics    (2022-06-09 20:05:54)
This number must be expressed in the nearest tenth of a percent by volume. (one decimal)</t>
        </r>
      </text>
    </comment>
    <comment ref="B46" authorId="0" shapeId="0">
      <text>
        <r>
          <rPr>
            <sz val="10"/>
            <color rgb="FF000000"/>
            <rFont val="Arial"/>
            <scheme val="minor"/>
          </rPr>
          <t>======
ID#AAAAbD7Z3cg
Olefin    (2022-06-09 20:05:54)
This number must be expressed in the nearest tenth of a percent by volume.(one decimal)</t>
        </r>
      </text>
    </comment>
    <comment ref="D47" authorId="0" shapeId="0">
      <text>
        <r>
          <rPr>
            <sz val="10"/>
            <color rgb="FF000000"/>
            <rFont val="Arial"/>
            <scheme val="minor"/>
          </rPr>
          <t>======
ID#AAAAbD7Z3cs
Ethanol    (2022-06-09 20:05:54)
This number must be expressed in the nearest tenth of a percent by volume. (one decimal)
If you elect to specify a range of ethanol, enter the minimum value.  If you elect not to specify a range, enter the ethanol value.</t>
        </r>
      </text>
    </comment>
    <comment ref="E47" authorId="0" shapeId="0">
      <text>
        <r>
          <rPr>
            <sz val="10"/>
            <color rgb="FF000000"/>
            <rFont val="Arial"/>
            <scheme val="minor"/>
          </rPr>
          <t>======
ID#AAAAbD7Z3cc
Maximum value of Ethanol range    (2022-06-09 20:05:54)
If you elect to specify a range of ethanol,  enter the maximum value of the ethanol range otherwise, enter the same value as cell D48.</t>
        </r>
      </text>
    </comment>
    <comment ref="D48" authorId="0" shapeId="0">
      <text>
        <r>
          <rPr>
            <sz val="10"/>
            <color rgb="FF000000"/>
            <rFont val="Arial"/>
            <scheme val="minor"/>
          </rPr>
          <t>======
ID#AAAAbD7Z3cw
Maximum Oxygen Content    (2022-06-09 20:05:54)
This number must be expressed in the nearest tenth of a percent by weight (one decimal).
The cap limit for oxygen is 3.5 wt%.  However, the oxygen can be as high as 3.7 wt% if ethanol is the only oxygenate used and the ethanol content does not exceed 10 vol%.</t>
        </r>
      </text>
    </comment>
    <comment ref="D49" authorId="0" shapeId="0">
      <text>
        <r>
          <rPr>
            <sz val="10"/>
            <color rgb="FF000000"/>
            <rFont val="Arial"/>
            <scheme val="minor"/>
          </rPr>
          <t>======
ID#AAAAbD7Z3cI
Minimum Oxygen Content    (2022-06-09 20:05:54)
This number must be expressed in the nearest tenth of a percent by weight (one decimal).
If  RVP control gaosoline = N and winter time minimum oxygen content = Y then Minimum Oxy Limit = 1.8 otherwise Minimum Oxy Limit = 0</t>
        </r>
      </text>
    </comment>
    <comment ref="B50" authorId="0" shapeId="0">
      <text>
        <r>
          <rPr>
            <sz val="10"/>
            <color rgb="FF000000"/>
            <rFont val="Arial"/>
            <scheme val="minor"/>
          </rPr>
          <t>======
ID#AAAAbD7Z3ck
Sulfur    (2022-06-09 20:05:54)
This number must be expressed in the nearest parts per million by weight. (no decimals)</t>
        </r>
      </text>
    </comment>
    <comment ref="B51" authorId="0" shapeId="0">
      <text>
        <r>
          <rPr>
            <sz val="10"/>
            <color rgb="FF000000"/>
            <rFont val="Arial"/>
            <scheme val="minor"/>
          </rPr>
          <t>======
ID#AAAAbD7Z3cQ
Benzene    (2022-06-09 20:05:54)
This number must be expressed in the nearest hundreth of a percent by volume.(two decimals)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AlgCeI3d5bKt0JzBJJim5pvsf7Q=="/>
    </ext>
  </extLst>
</comments>
</file>

<file path=xl/sharedStrings.xml><?xml version="1.0" encoding="utf-8"?>
<sst xmlns="http://schemas.openxmlformats.org/spreadsheetml/2006/main" count="1556" uniqueCount="244">
  <si>
    <t xml:space="preserve">FINAL CARBOB MODEL (Adopted by the ARB 11/16/2000) </t>
  </si>
  <si>
    <t>This spreadsheet also contains the Phase 2 Predictive Model (4/22/95) FSOR Final Version</t>
  </si>
  <si>
    <t>note: model coefficents rounded to values in Procedures Document in 2/99.</t>
  </si>
  <si>
    <t xml:space="preserve">This page computes the properties of the final blend of ethanol-containing gasoline when the properties of </t>
  </si>
  <si>
    <t xml:space="preserve">the CARBOB are specified.  The computations are made using the CARBOB model equations. These equations </t>
  </si>
  <si>
    <t xml:space="preserve">and the use of these equations are described in "Procedures for Using the California Model for California  </t>
  </si>
  <si>
    <t>Reformulated Blendstocks for Oxygenate Blending (CARBOB)."   The predicted properties of the final ethanol-</t>
  </si>
  <si>
    <t xml:space="preserve">containing gasoline are transferred to page A of this spreadsheet and are input into the Final Phase 2 Reformulated  </t>
  </si>
  <si>
    <t xml:space="preserve">Gasoline Predictive Model.  The emissions equivalency of the final ethanol-containing gasoline is evaluated in </t>
  </si>
  <si>
    <t xml:space="preserve">accordance with the procedures described in "California Procedures for Evaluating Alternative Specifications </t>
  </si>
  <si>
    <t>for Phase 2 Reformulated Gasoline Using the California Predictive Model."</t>
  </si>
  <si>
    <t xml:space="preserve">In using this spreadsheet the user first specifies whether each property will be produced to a predictive model </t>
  </si>
  <si>
    <t>flat limit or averaging limit.  The user then specifies</t>
  </si>
  <si>
    <t>the properties of the CARBOB and the properties of the ethanol that will be blended into the CARBOB.  If no</t>
  </si>
  <si>
    <t>ethanol properties are specfied, the default ethanol properties are used.</t>
  </si>
  <si>
    <t xml:space="preserve">INDICATE WHETHER AN AVERAGING LIMIT OR A FLAT LIMIT WILL BE USED. </t>
  </si>
  <si>
    <t>ENTER "A" FOR AVERAGING LIMIT AND "F" FOR FLAT LIMIT.</t>
  </si>
  <si>
    <t>PROPERTY</t>
  </si>
  <si>
    <t>T50</t>
  </si>
  <si>
    <t>F</t>
  </si>
  <si>
    <t>T90</t>
  </si>
  <si>
    <t>AROM</t>
  </si>
  <si>
    <t>OLEF</t>
  </si>
  <si>
    <t>SULFUR</t>
  </si>
  <si>
    <t>Y</t>
  </si>
  <si>
    <t>BENZ</t>
  </si>
  <si>
    <t>N</t>
  </si>
  <si>
    <t>INPUTS:</t>
  </si>
  <si>
    <t>Entry Key:</t>
  </si>
  <si>
    <t>Required Input</t>
  </si>
  <si>
    <t>Optional Input</t>
  </si>
  <si>
    <t xml:space="preserve">Yes (Y) or No (N) </t>
  </si>
  <si>
    <t>Is this an RVP controlled gasoline (summertime gasoline)?</t>
  </si>
  <si>
    <t>Do you elect to specify proprietary denatured ethanol specifications?</t>
  </si>
  <si>
    <t/>
  </si>
  <si>
    <t>CARBOB + ETOH</t>
  </si>
  <si>
    <t>Default</t>
  </si>
  <si>
    <t>Rounded</t>
  </si>
  <si>
    <t>ETOH MINIMUM</t>
  </si>
  <si>
    <t>ETOH MAXIMUM</t>
  </si>
  <si>
    <t>Property</t>
  </si>
  <si>
    <t>CARBOB</t>
  </si>
  <si>
    <t>Ethanol</t>
  </si>
  <si>
    <t xml:space="preserve"> ETOH Vol% (MIN)</t>
  </si>
  <si>
    <t xml:space="preserve"> ETOH Vol% (MAX)</t>
  </si>
  <si>
    <t>Units</t>
  </si>
  <si>
    <t xml:space="preserve">Note:  Correlation </t>
  </si>
  <si>
    <t>Ethanol Properties</t>
  </si>
  <si>
    <t>ETOH Input</t>
  </si>
  <si>
    <t>Rounded CARBOB Input</t>
  </si>
  <si>
    <t>Calculated Final Blend</t>
  </si>
  <si>
    <t>psi</t>
  </si>
  <si>
    <t>From RVP regression</t>
  </si>
  <si>
    <t>deg. F.</t>
  </si>
  <si>
    <t xml:space="preserve">From T50 regression </t>
  </si>
  <si>
    <t>From T90 regression</t>
  </si>
  <si>
    <t>AROM, vol%</t>
  </si>
  <si>
    <t>vol.%</t>
  </si>
  <si>
    <t>Dilution</t>
  </si>
  <si>
    <t>OLEF, vol%</t>
  </si>
  <si>
    <t>Ethanol Vol %</t>
  </si>
  <si>
    <t>Total Oxygen, Max</t>
  </si>
  <si>
    <t>wt.%</t>
  </si>
  <si>
    <t>Total Oxygen, Min</t>
  </si>
  <si>
    <t>ppmw.</t>
  </si>
  <si>
    <t>BENZENE</t>
  </si>
  <si>
    <t>Average Ethanol Content:</t>
  </si>
  <si>
    <t>CALIFORNIA PREDICTIVE MODEL (4/22/95)  FSOR Final Version</t>
  </si>
  <si>
    <t>INTRODUCTION</t>
  </si>
  <si>
    <t xml:space="preserve">This spreadsheet uses the California Predictive Model to evaluate alternative specifications for </t>
  </si>
  <si>
    <t xml:space="preserve">Phase 2 reformulated gasoline.  This spreadsheet is based on the procedures defined </t>
  </si>
  <si>
    <t>in the California Procedures for Evaluating Alternative Specifications for Phase 2 Reformulated Gasoline</t>
  </si>
  <si>
    <t>Using the California Predictive Model.</t>
  </si>
  <si>
    <t xml:space="preserve">To use this spreadsheet, you will be required to enter the value of each candidate fuel property     </t>
  </si>
  <si>
    <t xml:space="preserve">and the type of limit, averaging or flat, to which it will be compared.  The spreadsheet will calculate </t>
  </si>
  <si>
    <t>the percent change in emission reductions between the candidate and reference fuel and indicate</t>
  </si>
  <si>
    <t>whether it can be used as a substitute for Phase 2 reformulated gasoline.</t>
  </si>
  <si>
    <t>INPUTS</t>
  </si>
  <si>
    <t>ENTER THE VALUE OF EACH CANDIDATE FUEL PROPERTY IN THE APPROPRIATE SPACE BELOW:</t>
  </si>
  <si>
    <t>VALUE</t>
  </si>
  <si>
    <t>UNITS</t>
  </si>
  <si>
    <t>RVP</t>
  </si>
  <si>
    <t>psi, max.</t>
  </si>
  <si>
    <t>vol.%, max.</t>
  </si>
  <si>
    <t>(max)</t>
  </si>
  <si>
    <t>(min)</t>
  </si>
  <si>
    <t>OXYGEN</t>
  </si>
  <si>
    <t>wt. %</t>
  </si>
  <si>
    <t>RESULTS</t>
  </si>
  <si>
    <t>FOR OXYGEN AT MAXIMUM VALUE</t>
  </si>
  <si>
    <t>PREDICTED PERCENT CHANGE IN EMISSION (CANDIDATE VS REFERENCE)</t>
  </si>
  <si>
    <t>POLLUTANT</t>
  </si>
  <si>
    <t>COMPOSITE</t>
  </si>
  <si>
    <t xml:space="preserve"> </t>
  </si>
  <si>
    <t>NOX</t>
  </si>
  <si>
    <t>THC</t>
  </si>
  <si>
    <t>POT.TOX.</t>
  </si>
  <si>
    <t>FOR OXYGEN AT MINIMUM VALUE</t>
  </si>
  <si>
    <t xml:space="preserve">   COMPOSITE</t>
  </si>
  <si>
    <t xml:space="preserve">THE CANDIDATE FUEL </t>
  </si>
  <si>
    <t xml:space="preserve">,SINCE THE PERCENT CHANGE IN EMISSIONS  </t>
  </si>
  <si>
    <t xml:space="preserve">BETWEEN THE CANDIDATE FUEL AND REFERENCE FUEL IS  </t>
  </si>
  <si>
    <t>OXYGEN VALUE DETERMINATION</t>
  </si>
  <si>
    <t>REF MAX</t>
  </si>
  <si>
    <t>REF MIN</t>
  </si>
  <si>
    <t>CAN MAX</t>
  </si>
  <si>
    <t>CAN MIN</t>
  </si>
  <si>
    <t>TEST 1</t>
  </si>
  <si>
    <t>TEST 2</t>
  </si>
  <si>
    <t>TEST 3</t>
  </si>
  <si>
    <t>TEST 4</t>
  </si>
  <si>
    <t>TEST 5</t>
  </si>
  <si>
    <t>TEST 6</t>
  </si>
  <si>
    <t>OXYGEN VALUES USED</t>
  </si>
  <si>
    <t>OXYGEN MAXIMUM CALCULATION</t>
  </si>
  <si>
    <t>PREDICTED PERCENT CHANGE IN EMISSION (FUEL 2 RELATIVE TO FUEL 1)</t>
  </si>
  <si>
    <t>FUEL 1</t>
  </si>
  <si>
    <t>FUEL 2</t>
  </si>
  <si>
    <t>TECH 3</t>
  </si>
  <si>
    <t>TECH 4</t>
  </si>
  <si>
    <t>TECH GROUP WEIGHTS:</t>
  </si>
  <si>
    <t>TOXICS POTENCY WEIGHTS:</t>
  </si>
  <si>
    <t>CARB 8C</t>
  </si>
  <si>
    <t>RANBAL</t>
  </si>
  <si>
    <t>WEIGHT</t>
  </si>
  <si>
    <t>NA</t>
  </si>
  <si>
    <t>BUTADI.</t>
  </si>
  <si>
    <t>ALL TOXICS</t>
  </si>
  <si>
    <t>FORMAL.</t>
  </si>
  <si>
    <t>ACETAL.</t>
  </si>
  <si>
    <t xml:space="preserve">note: The TECH GROUP Weights are the same for </t>
  </si>
  <si>
    <t xml:space="preserve">  all Toxics because these weights are VMT weights.</t>
  </si>
  <si>
    <t>FUEL PROPERTY MEANS AND STANDARD DEVIATIONS:</t>
  </si>
  <si>
    <t>MEAN</t>
  </si>
  <si>
    <t>STD.</t>
  </si>
  <si>
    <t>MODEL COEFFICIENTS:</t>
  </si>
  <si>
    <t xml:space="preserve">THESE ARE THE 3/94 PROC MIXED PARAMETER ESTIMATES. </t>
  </si>
  <si>
    <t>STANDARDIZED FUEL PROPERTIES:</t>
  </si>
  <si>
    <t>POT</t>
  </si>
  <si>
    <t>TERM</t>
  </si>
  <si>
    <t>INTERCEPT</t>
  </si>
  <si>
    <t>RVRV</t>
  </si>
  <si>
    <t>RVT5</t>
  </si>
  <si>
    <t>RVOX</t>
  </si>
  <si>
    <t>T5T5</t>
  </si>
  <si>
    <t>T5T9</t>
  </si>
  <si>
    <t>T5OX</t>
  </si>
  <si>
    <t>T9T9</t>
  </si>
  <si>
    <t>T9OX</t>
  </si>
  <si>
    <t>T9SU</t>
  </si>
  <si>
    <t>T9AR</t>
  </si>
  <si>
    <t>ARAR</t>
  </si>
  <si>
    <t>AROL</t>
  </si>
  <si>
    <t>AROX</t>
  </si>
  <si>
    <t>ARSU</t>
  </si>
  <si>
    <t>OLT9</t>
  </si>
  <si>
    <t>OXOX</t>
  </si>
  <si>
    <t>SUSU</t>
  </si>
  <si>
    <t>MODEL PREDICTIONS: EXP(PREDICTION) ARE EMISSIONS PREDICTIONS IN g/mi FOR THC AND NOX AND mg/mi FOR TOXICS.</t>
  </si>
  <si>
    <t>PREDICTIONS FOR FUEL 1:</t>
  </si>
  <si>
    <t>POT.WT.</t>
  </si>
  <si>
    <t>POT. WT.</t>
  </si>
  <si>
    <t>MODEL PREDICTION</t>
  </si>
  <si>
    <t>EXP(PREDICTION)</t>
  </si>
  <si>
    <t>LINEARIZATION</t>
  </si>
  <si>
    <t>MINIMA</t>
  </si>
  <si>
    <t>PREDICTIONS FOR FUEL 2:</t>
  </si>
  <si>
    <t>PERCENT CHANGE IN PREDICTED EMISSIONS (FUEL 2 RELATIVE TO FUEL1):</t>
  </si>
  <si>
    <t>NOX (RANBAL)</t>
  </si>
  <si>
    <t>THC (RANBAL)</t>
  </si>
  <si>
    <t>% CHANGE IN POT. WT. TOXICS</t>
  </si>
  <si>
    <t>% CHANGE</t>
  </si>
  <si>
    <t>POTENCY TOXICS</t>
  </si>
  <si>
    <t>This calculation checks the one done</t>
  </si>
  <si>
    <t>in cell L130</t>
  </si>
  <si>
    <t>OXYGEN MINIMUM CALCULATION</t>
  </si>
  <si>
    <t>REFINERY NAME</t>
  </si>
  <si>
    <t>Location</t>
  </si>
  <si>
    <t>City, St Zip Code</t>
  </si>
  <si>
    <t>Predictive Model Specification</t>
  </si>
  <si>
    <t>CaRFG Phase</t>
  </si>
  <si>
    <t>PM Flat</t>
  </si>
  <si>
    <t>Person Reporting:</t>
  </si>
  <si>
    <t>Phone #:</t>
  </si>
  <si>
    <t>Comment:</t>
  </si>
  <si>
    <t>EPA Facility ID:</t>
  </si>
  <si>
    <t>PM Specification Number:</t>
  </si>
  <si>
    <t>Notification Date:</t>
  </si>
  <si>
    <t>Batch Number:</t>
  </si>
  <si>
    <t>Notification Time:</t>
  </si>
  <si>
    <t>Tank Number:</t>
  </si>
  <si>
    <t>Start of Transfer Date:</t>
  </si>
  <si>
    <t>Grade:</t>
  </si>
  <si>
    <t>Start of Transfer Time:</t>
  </si>
  <si>
    <t>Is this an RVP controlled gasoline (summertime gasoline)?:</t>
  </si>
  <si>
    <t>Do you elect to specify proprietary denatured ethanol specifications?:</t>
  </si>
  <si>
    <t>Fuel Parameter</t>
  </si>
  <si>
    <t xml:space="preserve">Compliance </t>
  </si>
  <si>
    <t>CARBOB+ETOH</t>
  </si>
  <si>
    <t>Option</t>
  </si>
  <si>
    <t>ETOH Vol% Min</t>
  </si>
  <si>
    <t>ETOH Vol% Max</t>
  </si>
  <si>
    <t>n/a</t>
  </si>
  <si>
    <t>Aromatics, vol%</t>
  </si>
  <si>
    <t>Benzene, vol%</t>
  </si>
  <si>
    <t>Olefin, vol%</t>
  </si>
  <si>
    <t>Sulfur, ppm</t>
  </si>
  <si>
    <r>
      <rPr>
        <sz val="12"/>
        <color theme="1"/>
        <rFont val="Arial"/>
      </rPr>
      <t xml:space="preserve">T50, </t>
    </r>
    <r>
      <rPr>
        <vertAlign val="superscript"/>
        <sz val="12"/>
        <color theme="1"/>
        <rFont val="Arial"/>
      </rPr>
      <t>0</t>
    </r>
    <r>
      <rPr>
        <sz val="12"/>
        <color theme="1"/>
        <rFont val="Arial"/>
      </rPr>
      <t>F</t>
    </r>
  </si>
  <si>
    <r>
      <rPr>
        <sz val="12"/>
        <color theme="1"/>
        <rFont val="Arial"/>
      </rPr>
      <t xml:space="preserve">T90, </t>
    </r>
    <r>
      <rPr>
        <vertAlign val="superscript"/>
        <sz val="12"/>
        <color theme="1"/>
        <rFont val="Arial"/>
      </rPr>
      <t>0</t>
    </r>
    <r>
      <rPr>
        <sz val="12"/>
        <color theme="1"/>
        <rFont val="Arial"/>
      </rPr>
      <t>F</t>
    </r>
  </si>
  <si>
    <t>Ethanol, vol%</t>
  </si>
  <si>
    <t>Total Oxy, vol%</t>
  </si>
  <si>
    <t>Min.</t>
  </si>
  <si>
    <t>Max.</t>
  </si>
  <si>
    <t>Predictive Model</t>
  </si>
  <si>
    <t>Percent Change in Emissions</t>
  </si>
  <si>
    <t>Pollutants</t>
  </si>
  <si>
    <t>CARBOB+ETOH Min</t>
  </si>
  <si>
    <t>CARBOB+ETOH Max</t>
  </si>
  <si>
    <r>
      <rPr>
        <sz val="12"/>
        <color theme="1"/>
        <rFont val="Arial"/>
      </rPr>
      <t>Min O</t>
    </r>
    <r>
      <rPr>
        <vertAlign val="subscript"/>
        <sz val="12"/>
        <color theme="1"/>
        <rFont val="Arial"/>
      </rPr>
      <t>2</t>
    </r>
  </si>
  <si>
    <r>
      <rPr>
        <sz val="12"/>
        <color theme="1"/>
        <rFont val="Arial"/>
      </rPr>
      <t>Max O</t>
    </r>
    <r>
      <rPr>
        <vertAlign val="subscript"/>
        <sz val="12"/>
        <color theme="1"/>
        <rFont val="Arial"/>
      </rPr>
      <t>2</t>
    </r>
  </si>
  <si>
    <r>
      <rPr>
        <sz val="12"/>
        <color theme="1"/>
        <rFont val="Arial"/>
      </rPr>
      <t>Min O</t>
    </r>
    <r>
      <rPr>
        <vertAlign val="subscript"/>
        <sz val="12"/>
        <color theme="1"/>
        <rFont val="Arial"/>
      </rPr>
      <t>2</t>
    </r>
  </si>
  <si>
    <r>
      <rPr>
        <sz val="12"/>
        <color theme="1"/>
        <rFont val="Arial"/>
      </rPr>
      <t>Max O</t>
    </r>
    <r>
      <rPr>
        <vertAlign val="subscript"/>
        <sz val="12"/>
        <color theme="1"/>
        <rFont val="Arial"/>
      </rPr>
      <t>2</t>
    </r>
  </si>
  <si>
    <t>Oxides of Nitrogen</t>
  </si>
  <si>
    <t>Total Hydrocarbons</t>
  </si>
  <si>
    <t>Potency Weighted Toxins</t>
  </si>
  <si>
    <r>
      <rPr>
        <b/>
        <sz val="10"/>
        <color theme="1"/>
        <rFont val="Arial"/>
      </rPr>
      <t xml:space="preserve">The candidate </t>
    </r>
    <r>
      <rPr>
        <b/>
        <sz val="10"/>
        <color rgb="FF000000"/>
        <rFont val="Arial"/>
      </rPr>
      <t>CARBOB</t>
    </r>
  </si>
  <si>
    <t xml:space="preserve">, since the percent change in emissions between the </t>
  </si>
  <si>
    <t xml:space="preserve">        fuel produced by blending the candidate CARBOB with the specified amount of ethanol</t>
  </si>
  <si>
    <t>and the reference fuel is:</t>
  </si>
  <si>
    <t xml:space="preserve">request  that this report be kept confidential as trade secret information </t>
  </si>
  <si>
    <t>pursuant to the California Public Records CA Government Code Section 6250 et.seq.</t>
  </si>
  <si>
    <t xml:space="preserve"> California Air Resources Board -- Revised(1/01/03)</t>
  </si>
  <si>
    <t>CTRSP</t>
  </si>
  <si>
    <t>ARO</t>
  </si>
  <si>
    <t>BEN</t>
  </si>
  <si>
    <t>OLE</t>
  </si>
  <si>
    <t>SUL</t>
  </si>
  <si>
    <t>EVOL</t>
  </si>
  <si>
    <t>EOHX</t>
  </si>
  <si>
    <t>EOHN</t>
  </si>
  <si>
    <t>EARO</t>
  </si>
  <si>
    <t>EBEN</t>
  </si>
  <si>
    <t>EOLE</t>
  </si>
  <si>
    <t>ESUL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</si>
</sst>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;[Red]0"/>
    <numFmt numFmtId="166" formatCode="00000"/>
  </numFmts>
  <fonts count="42" x14ac:knownFonts="1">
    <font>
      <sz val="10"/>
      <color rgb="FF000000"/>
      <name val="Arial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6"/>
      <color theme="1"/>
      <name val="Arial"/>
    </font>
    <font>
      <sz val="12"/>
      <color theme="1"/>
      <name val="Arial"/>
    </font>
    <font>
      <sz val="16"/>
      <color theme="1"/>
      <name val="Arial"/>
    </font>
    <font>
      <sz val="12"/>
      <color rgb="FFFF0000"/>
      <name val="Arial"/>
    </font>
    <font>
      <sz val="10"/>
      <color rgb="FFFFFFFF"/>
      <name val="Arial"/>
    </font>
    <font>
      <b/>
      <sz val="10"/>
      <color theme="1"/>
      <name val="Arial"/>
    </font>
    <font>
      <b/>
      <u/>
      <sz val="14"/>
      <color theme="1"/>
      <name val="Arial"/>
    </font>
    <font>
      <b/>
      <u/>
      <sz val="10"/>
      <color rgb="FF0000FF"/>
      <name val="Arial"/>
    </font>
    <font>
      <b/>
      <sz val="10"/>
      <color rgb="FFFF0000"/>
      <name val="Arial"/>
    </font>
    <font>
      <sz val="10"/>
      <color rgb="FF0000FF"/>
      <name val="Arial"/>
    </font>
    <font>
      <b/>
      <sz val="10"/>
      <color rgb="FF0000FF"/>
      <name val="Arial"/>
    </font>
    <font>
      <b/>
      <sz val="12"/>
      <color rgb="FF0000FF"/>
      <name val="Arial"/>
    </font>
    <font>
      <b/>
      <sz val="12"/>
      <color rgb="FFFF0000"/>
      <name val="Arial"/>
    </font>
    <font>
      <sz val="12"/>
      <color rgb="FF0000FF"/>
      <name val="Arial"/>
    </font>
    <font>
      <sz val="10"/>
      <name val="Arial"/>
    </font>
    <font>
      <sz val="8"/>
      <color rgb="FF0000FF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sz val="8"/>
      <color theme="1"/>
      <name val="Arial"/>
    </font>
    <font>
      <b/>
      <sz val="8"/>
      <color rgb="FF0000FF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sz val="9"/>
      <color theme="1"/>
      <name val="Arial"/>
    </font>
    <font>
      <sz val="12"/>
      <color rgb="FF000000"/>
      <name val="Arial"/>
    </font>
    <font>
      <b/>
      <sz val="12"/>
      <color rgb="FFFF00FF"/>
      <name val="Arial"/>
    </font>
    <font>
      <b/>
      <sz val="14"/>
      <color rgb="FFFF0000"/>
      <name val="Arial"/>
    </font>
    <font>
      <b/>
      <u/>
      <sz val="10"/>
      <color theme="1"/>
      <name val="Arial"/>
    </font>
    <font>
      <sz val="12"/>
      <color rgb="FFFF00FF"/>
      <name val="Arial"/>
    </font>
    <font>
      <b/>
      <sz val="14"/>
      <color theme="1"/>
      <name val="Arial"/>
    </font>
    <font>
      <b/>
      <u/>
      <sz val="12"/>
      <color theme="1"/>
      <name val="Arial"/>
    </font>
    <font>
      <b/>
      <u/>
      <sz val="14"/>
      <color rgb="FFFF0000"/>
      <name val="Arial"/>
    </font>
    <font>
      <b/>
      <u/>
      <sz val="14"/>
      <color rgb="FFFF0000"/>
      <name val="Arial"/>
    </font>
    <font>
      <b/>
      <u/>
      <sz val="14"/>
      <color theme="1"/>
      <name val="Arial"/>
    </font>
    <font>
      <sz val="9"/>
      <color theme="1"/>
      <name val="Arial"/>
    </font>
    <font>
      <sz val="10"/>
      <color theme="1"/>
      <name val="Arial"/>
    </font>
    <font>
      <vertAlign val="superscript"/>
      <sz val="12"/>
      <color theme="1"/>
      <name val="Arial"/>
    </font>
    <font>
      <vertAlign val="subscript"/>
      <sz val="12"/>
      <color theme="1"/>
      <name val="Arial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63">
    <border>
      <left/>
      <right/>
      <top/>
      <bottom/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22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/>
    <xf numFmtId="0" fontId="1" fillId="0" borderId="1" xfId="0" applyFont="1" applyBorder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/>
    <xf numFmtId="0" fontId="6" fillId="0" borderId="4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2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1" fillId="0" borderId="6" xfId="0" applyFont="1" applyBorder="1" applyAlignment="1">
      <alignment horizontal="center"/>
    </xf>
    <xf numFmtId="0" fontId="14" fillId="0" borderId="0" xfId="0" applyFont="1" applyAlignment="1"/>
    <xf numFmtId="0" fontId="15" fillId="2" borderId="7" xfId="0" applyFont="1" applyFill="1" applyBorder="1" applyAlignment="1">
      <alignment horizontal="center"/>
    </xf>
    <xf numFmtId="0" fontId="16" fillId="0" borderId="0" xfId="0" applyFont="1" applyAlignment="1"/>
    <xf numFmtId="0" fontId="15" fillId="2" borderId="7" xfId="0" applyFont="1" applyFill="1" applyBorder="1" applyAlignment="1">
      <alignment horizontal="center"/>
    </xf>
    <xf numFmtId="0" fontId="16" fillId="0" borderId="9" xfId="0" applyFont="1" applyBorder="1" applyAlignment="1"/>
    <xf numFmtId="0" fontId="6" fillId="0" borderId="0" xfId="0" applyFont="1" applyAlignment="1"/>
    <xf numFmtId="0" fontId="15" fillId="0" borderId="10" xfId="0" applyFont="1" applyBorder="1" applyAlignment="1">
      <alignment horizontal="center"/>
    </xf>
    <xf numFmtId="0" fontId="18" fillId="0" borderId="0" xfId="0" applyFont="1" applyAlignment="1"/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1" fillId="0" borderId="0" xfId="0" applyFont="1" applyAlignment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22" fillId="0" borderId="0" xfId="0" applyFont="1" applyAlignment="1"/>
    <xf numFmtId="0" fontId="23" fillId="0" borderId="0" xfId="0" applyFont="1" applyAlignment="1"/>
    <xf numFmtId="0" fontId="24" fillId="0" borderId="14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2" fontId="15" fillId="2" borderId="7" xfId="0" applyNumberFormat="1" applyFont="1" applyFill="1" applyBorder="1" applyAlignment="1">
      <alignment horizontal="center"/>
    </xf>
    <xf numFmtId="0" fontId="4" fillId="0" borderId="14" xfId="0" applyFont="1" applyBorder="1" applyAlignment="1"/>
    <xf numFmtId="2" fontId="26" fillId="0" borderId="14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7" fillId="0" borderId="0" xfId="0" applyNumberFormat="1" applyFont="1" applyAlignment="1"/>
    <xf numFmtId="0" fontId="27" fillId="0" borderId="0" xfId="0" applyFont="1" applyAlignment="1"/>
    <xf numFmtId="1" fontId="15" fillId="2" borderId="7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64" fontId="15" fillId="2" borderId="7" xfId="0" applyNumberFormat="1" applyFont="1" applyFill="1" applyBorder="1" applyAlignment="1">
      <alignment horizontal="center"/>
    </xf>
    <xf numFmtId="164" fontId="15" fillId="3" borderId="7" xfId="0" applyNumberFormat="1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/>
    <xf numFmtId="164" fontId="15" fillId="2" borderId="7" xfId="0" applyNumberFormat="1" applyFont="1" applyFill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4" fontId="22" fillId="0" borderId="0" xfId="0" applyNumberFormat="1" applyFont="1" applyAlignment="1"/>
    <xf numFmtId="164" fontId="15" fillId="0" borderId="14" xfId="0" applyNumberFormat="1" applyFont="1" applyBorder="1" applyAlignment="1">
      <alignment horizontal="center"/>
    </xf>
    <xf numFmtId="1" fontId="15" fillId="3" borderId="7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15" fillId="2" borderId="16" xfId="0" applyNumberFormat="1" applyFont="1" applyFill="1" applyBorder="1" applyAlignment="1">
      <alignment horizontal="center"/>
    </xf>
    <xf numFmtId="2" fontId="15" fillId="3" borderId="16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64" fontId="18" fillId="0" borderId="0" xfId="0" applyNumberFormat="1" applyFont="1" applyAlignment="1"/>
    <xf numFmtId="0" fontId="29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0" fillId="0" borderId="0" xfId="0" applyFont="1" applyAlignment="1"/>
    <xf numFmtId="0" fontId="32" fillId="0" borderId="18" xfId="0" applyFont="1" applyBorder="1" applyAlignment="1"/>
    <xf numFmtId="0" fontId="4" fillId="0" borderId="19" xfId="0" applyFont="1" applyBorder="1" applyAlignment="1"/>
    <xf numFmtId="0" fontId="22" fillId="0" borderId="19" xfId="0" applyFont="1" applyBorder="1" applyAlignment="1"/>
    <xf numFmtId="0" fontId="4" fillId="0" borderId="1" xfId="0" applyFont="1" applyBorder="1" applyAlignment="1"/>
    <xf numFmtId="0" fontId="33" fillId="0" borderId="1" xfId="0" applyFont="1" applyBorder="1" applyAlignment="1"/>
    <xf numFmtId="2" fontId="6" fillId="0" borderId="2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32" fillId="0" borderId="0" xfId="0" applyFont="1" applyAlignment="1"/>
    <xf numFmtId="0" fontId="4" fillId="0" borderId="0" xfId="0" applyFont="1" applyAlignment="1">
      <alignment horizontal="left"/>
    </xf>
    <xf numFmtId="2" fontId="4" fillId="0" borderId="0" xfId="0" applyNumberFormat="1" applyFont="1" applyAlignment="1"/>
    <xf numFmtId="164" fontId="4" fillId="0" borderId="0" xfId="0" applyNumberFormat="1" applyFont="1" applyAlignment="1"/>
    <xf numFmtId="0" fontId="32" fillId="0" borderId="1" xfId="0" applyFont="1" applyBorder="1" applyAlignment="1"/>
    <xf numFmtId="0" fontId="34" fillId="0" borderId="0" xfId="0" applyFont="1" applyAlignment="1">
      <alignment horizontal="center"/>
    </xf>
    <xf numFmtId="164" fontId="32" fillId="0" borderId="0" xfId="0" applyNumberFormat="1" applyFont="1" applyAlignment="1"/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15" xfId="0" applyFont="1" applyBorder="1" applyAlignment="1"/>
    <xf numFmtId="1" fontId="4" fillId="0" borderId="0" xfId="0" applyNumberFormat="1" applyFont="1" applyAlignme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0" fontId="6" fillId="4" borderId="5" xfId="0" applyFont="1" applyFill="1" applyBorder="1" applyAlignment="1">
      <alignment horizontal="left"/>
    </xf>
    <xf numFmtId="14" fontId="6" fillId="4" borderId="5" xfId="0" applyNumberFormat="1" applyFont="1" applyFill="1" applyBorder="1" applyAlignment="1">
      <alignment horizontal="left"/>
    </xf>
    <xf numFmtId="20" fontId="6" fillId="4" borderId="5" xfId="0" applyNumberFormat="1" applyFont="1" applyFill="1" applyBorder="1" applyAlignment="1">
      <alignment horizontal="left"/>
    </xf>
    <xf numFmtId="14" fontId="6" fillId="3" borderId="5" xfId="0" applyNumberFormat="1" applyFont="1" applyFill="1" applyBorder="1" applyAlignment="1">
      <alignment horizontal="left"/>
    </xf>
    <xf numFmtId="20" fontId="6" fillId="3" borderId="5" xfId="0" applyNumberFormat="1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2" fontId="4" fillId="0" borderId="43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164" fontId="6" fillId="0" borderId="46" xfId="0" applyNumberFormat="1" applyFont="1" applyBorder="1" applyAlignment="1">
      <alignment horizontal="center"/>
    </xf>
    <xf numFmtId="164" fontId="6" fillId="5" borderId="47" xfId="0" applyNumberFormat="1" applyFont="1" applyFill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2" fontId="6" fillId="5" borderId="47" xfId="0" applyNumberFormat="1" applyFont="1" applyFill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1" fontId="6" fillId="0" borderId="46" xfId="0" applyNumberFormat="1" applyFont="1" applyBorder="1" applyAlignment="1">
      <alignment horizontal="center"/>
    </xf>
    <xf numFmtId="1" fontId="6" fillId="5" borderId="47" xfId="0" applyNumberFormat="1" applyFont="1" applyFill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/>
    <xf numFmtId="0" fontId="4" fillId="0" borderId="50" xfId="0" applyFont="1" applyBorder="1" applyAlignment="1">
      <alignment horizontal="center"/>
    </xf>
    <xf numFmtId="164" fontId="6" fillId="0" borderId="51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" fontId="15" fillId="0" borderId="19" xfId="0" applyNumberFormat="1" applyFont="1" applyBorder="1" applyAlignment="1">
      <alignment horizontal="center"/>
    </xf>
    <xf numFmtId="164" fontId="8" fillId="0" borderId="0" xfId="0" applyNumberFormat="1" applyFont="1" applyAlignment="1"/>
    <xf numFmtId="0" fontId="11" fillId="0" borderId="0" xfId="0" applyFont="1" applyAlignment="1"/>
    <xf numFmtId="0" fontId="38" fillId="0" borderId="0" xfId="0" applyFont="1"/>
    <xf numFmtId="2" fontId="2" fillId="0" borderId="0" xfId="0" applyNumberFormat="1" applyFont="1" applyAlignment="1"/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1" fontId="2" fillId="0" borderId="0" xfId="0" applyNumberFormat="1" applyFont="1" applyAlignment="1"/>
    <xf numFmtId="164" fontId="1" fillId="0" borderId="0" xfId="0" applyNumberFormat="1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1" fillId="0" borderId="0" xfId="0" applyFont="1" applyAlignment="1"/>
    <xf numFmtId="0" fontId="17" fillId="0" borderId="8" xfId="0" applyFont="1" applyBorder="1"/>
    <xf numFmtId="0" fontId="1" fillId="0" borderId="11" xfId="0" applyFont="1" applyBorder="1" applyAlignment="1">
      <alignment horizontal="center"/>
    </xf>
    <xf numFmtId="0" fontId="17" fillId="0" borderId="12" xfId="0" applyFont="1" applyBorder="1"/>
    <xf numFmtId="0" fontId="2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17" fillId="0" borderId="27" xfId="0" applyFont="1" applyBorder="1"/>
    <xf numFmtId="0" fontId="8" fillId="0" borderId="0" xfId="0" applyFont="1" applyAlignment="1">
      <alignment horizontal="right"/>
    </xf>
    <xf numFmtId="2" fontId="6" fillId="0" borderId="21" xfId="0" applyNumberFormat="1" applyFont="1" applyBorder="1" applyAlignment="1">
      <alignment horizontal="center"/>
    </xf>
    <xf numFmtId="0" fontId="17" fillId="0" borderId="58" xfId="0" applyFont="1" applyBorder="1"/>
    <xf numFmtId="2" fontId="6" fillId="0" borderId="15" xfId="0" applyNumberFormat="1" applyFont="1" applyBorder="1" applyAlignment="1">
      <alignment horizontal="center"/>
    </xf>
    <xf numFmtId="0" fontId="17" fillId="0" borderId="59" xfId="0" applyFont="1" applyBorder="1"/>
    <xf numFmtId="2" fontId="6" fillId="0" borderId="61" xfId="0" applyNumberFormat="1" applyFont="1" applyBorder="1" applyAlignment="1">
      <alignment horizontal="center"/>
    </xf>
    <xf numFmtId="0" fontId="17" fillId="0" borderId="62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/>
    <xf numFmtId="0" fontId="8" fillId="0" borderId="0" xfId="0" applyFont="1" applyAlignment="1"/>
    <xf numFmtId="0" fontId="3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3" fillId="0" borderId="0" xfId="0" applyFont="1" applyAlignment="1"/>
    <xf numFmtId="0" fontId="15" fillId="0" borderId="0" xfId="0" applyFont="1" applyAlignment="1">
      <alignment horizontal="right"/>
    </xf>
    <xf numFmtId="22" fontId="4" fillId="0" borderId="0" xfId="0" applyNumberFormat="1" applyFont="1" applyAlignment="1">
      <alignment horizontal="left"/>
    </xf>
    <xf numFmtId="0" fontId="6" fillId="4" borderId="23" xfId="0" applyFont="1" applyFill="1" applyBorder="1" applyAlignment="1">
      <alignment horizontal="left"/>
    </xf>
    <xf numFmtId="0" fontId="17" fillId="0" borderId="24" xfId="0" applyFont="1" applyBorder="1"/>
    <xf numFmtId="0" fontId="6" fillId="3" borderId="23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17" fillId="0" borderId="25" xfId="0" applyFont="1" applyBorder="1"/>
    <xf numFmtId="0" fontId="4" fillId="0" borderId="27" xfId="0" applyFont="1" applyBorder="1" applyAlignment="1"/>
    <xf numFmtId="0" fontId="17" fillId="0" borderId="28" xfId="0" applyFont="1" applyBorder="1"/>
    <xf numFmtId="0" fontId="4" fillId="0" borderId="33" xfId="0" applyFont="1" applyBorder="1" applyAlignment="1">
      <alignment horizontal="center"/>
    </xf>
    <xf numFmtId="0" fontId="17" fillId="0" borderId="34" xfId="0" applyFont="1" applyBorder="1"/>
    <xf numFmtId="0" fontId="17" fillId="0" borderId="35" xfId="0" applyFont="1" applyBorder="1"/>
    <xf numFmtId="166" fontId="37" fillId="0" borderId="39" xfId="0" applyNumberFormat="1" applyFont="1" applyBorder="1" applyAlignment="1">
      <alignment horizontal="center"/>
    </xf>
    <xf numFmtId="0" fontId="17" fillId="0" borderId="40" xfId="0" applyFont="1" applyBorder="1"/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0" fontId="17" fillId="0" borderId="22" xfId="0" applyFont="1" applyBorder="1"/>
    <xf numFmtId="164" fontId="6" fillId="0" borderId="27" xfId="0" applyNumberFormat="1" applyFont="1" applyBorder="1" applyAlignment="1">
      <alignment horizontal="center"/>
    </xf>
    <xf numFmtId="0" fontId="4" fillId="0" borderId="52" xfId="0" applyFont="1" applyBorder="1" applyAlignment="1"/>
    <xf numFmtId="0" fontId="17" fillId="0" borderId="52" xfId="0" applyFont="1" applyBorder="1"/>
    <xf numFmtId="0" fontId="4" fillId="0" borderId="18" xfId="0" applyFont="1" applyBorder="1" applyAlignment="1">
      <alignment horizontal="center"/>
    </xf>
    <xf numFmtId="0" fontId="17" fillId="0" borderId="19" xfId="0" applyFont="1" applyBorder="1"/>
    <xf numFmtId="0" fontId="4" fillId="0" borderId="53" xfId="0" applyFont="1" applyBorder="1" applyAlignment="1">
      <alignment horizontal="center"/>
    </xf>
    <xf numFmtId="0" fontId="17" fillId="0" borderId="54" xfId="0" applyFont="1" applyBorder="1"/>
    <xf numFmtId="0" fontId="4" fillId="0" borderId="39" xfId="0" applyFont="1" applyBorder="1" applyAlignment="1">
      <alignment horizontal="center"/>
    </xf>
    <xf numFmtId="0" fontId="17" fillId="0" borderId="55" xfId="0" applyFont="1" applyBorder="1"/>
    <xf numFmtId="0" fontId="17" fillId="0" borderId="56" xfId="0" applyFont="1" applyBorder="1"/>
    <xf numFmtId="0" fontId="2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topLeftCell="A25" workbookViewId="0">
      <selection activeCell="C48" sqref="C48"/>
    </sheetView>
  </sheetViews>
  <sheetFormatPr defaultColWidth="12.5703125" defaultRowHeight="15" customHeight="1" x14ac:dyDescent="0.2"/>
  <cols>
    <col min="1" max="1" width="23.85546875" customWidth="1"/>
    <col min="2" max="3" width="18.5703125" customWidth="1"/>
    <col min="4" max="5" width="23.5703125" customWidth="1"/>
    <col min="6" max="6" width="7.5703125" customWidth="1"/>
    <col min="7" max="7" width="20" customWidth="1"/>
    <col min="8" max="8" width="22.140625" customWidth="1"/>
    <col min="9" max="9" width="5.7109375" customWidth="1"/>
    <col min="10" max="10" width="13.42578125" customWidth="1"/>
    <col min="11" max="11" width="5.7109375" customWidth="1"/>
    <col min="12" max="12" width="18.7109375" customWidth="1"/>
    <col min="13" max="13" width="18.5703125" customWidth="1"/>
    <col min="14" max="14" width="9.140625" customWidth="1"/>
    <col min="15" max="16" width="18.7109375" customWidth="1"/>
    <col min="17" max="23" width="9.140625" customWidth="1"/>
    <col min="24" max="26" width="8" customWidth="1"/>
  </cols>
  <sheetData>
    <row r="1" spans="1:26" ht="15" customHeight="1" x14ac:dyDescent="0.3">
      <c r="A1" s="1" t="s">
        <v>0</v>
      </c>
      <c r="B1" s="2"/>
      <c r="C1" s="3"/>
      <c r="D1" s="2"/>
      <c r="E1" s="2"/>
      <c r="F1" s="4"/>
      <c r="G1" s="4"/>
      <c r="H1" s="4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1" t="s">
        <v>1</v>
      </c>
      <c r="B2" s="2"/>
      <c r="C2" s="3"/>
      <c r="D2" s="2"/>
      <c r="E2" s="2"/>
      <c r="F2" s="4"/>
      <c r="G2" s="4"/>
      <c r="H2" s="4"/>
      <c r="I2" s="4"/>
      <c r="J2" s="4"/>
      <c r="K2" s="4"/>
      <c r="L2" s="4"/>
      <c r="M2" s="4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3">
      <c r="A3" s="6" t="s">
        <v>2</v>
      </c>
      <c r="B3" s="2"/>
      <c r="C3" s="3"/>
      <c r="D3" s="2"/>
      <c r="E3" s="2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">
      <c r="A4" s="1"/>
      <c r="B4" s="2"/>
      <c r="C4" s="3"/>
      <c r="D4" s="2"/>
      <c r="E4" s="2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3">
      <c r="A5" s="7" t="s">
        <v>3</v>
      </c>
      <c r="B5" s="2"/>
      <c r="C5" s="3"/>
      <c r="D5" s="2"/>
      <c r="E5" s="2"/>
      <c r="F5" s="4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7" t="s">
        <v>4</v>
      </c>
      <c r="B6" s="2"/>
      <c r="C6" s="8"/>
      <c r="D6" s="2"/>
      <c r="E6" s="2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7" t="s">
        <v>5</v>
      </c>
      <c r="B7" s="2"/>
      <c r="C7" s="8"/>
      <c r="D7" s="2"/>
      <c r="E7" s="2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7" t="s">
        <v>6</v>
      </c>
      <c r="B8" s="2"/>
      <c r="C8" s="8"/>
      <c r="D8" s="2"/>
      <c r="E8" s="2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7" t="s">
        <v>7</v>
      </c>
      <c r="B9" s="2"/>
      <c r="C9" s="8"/>
      <c r="D9" s="2"/>
      <c r="E9" s="2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7" t="s">
        <v>8</v>
      </c>
      <c r="B10" s="2"/>
      <c r="C10" s="8"/>
      <c r="D10" s="2"/>
      <c r="E10" s="2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7" t="s">
        <v>9</v>
      </c>
      <c r="B11" s="2"/>
      <c r="C11" s="8"/>
      <c r="D11" s="2"/>
      <c r="E11" s="2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7" t="s">
        <v>10</v>
      </c>
      <c r="B12" s="2"/>
      <c r="C12" s="8"/>
      <c r="D12" s="2"/>
      <c r="E12" s="2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7"/>
      <c r="B13" s="2"/>
      <c r="C13" s="8"/>
      <c r="D13" s="2"/>
      <c r="E13" s="2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7" t="s">
        <v>11</v>
      </c>
      <c r="B14" s="2"/>
      <c r="C14" s="8"/>
      <c r="D14" s="2"/>
      <c r="E14" s="2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7" t="s">
        <v>12</v>
      </c>
      <c r="B15" s="2"/>
      <c r="C15" s="8"/>
      <c r="D15" s="2"/>
      <c r="E15" s="2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7" t="s">
        <v>13</v>
      </c>
      <c r="B16" s="2"/>
      <c r="C16" s="8"/>
      <c r="D16" s="2"/>
      <c r="E16" s="2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2">
      <c r="A17" s="7" t="s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2">
      <c r="A19" s="7" t="s">
        <v>15</v>
      </c>
      <c r="B19" s="7"/>
      <c r="C19" s="7"/>
      <c r="D19" s="7"/>
      <c r="E19" s="7"/>
      <c r="F19" s="7"/>
      <c r="G19" s="7"/>
      <c r="H19" s="4"/>
      <c r="I19" s="4"/>
      <c r="J19" s="4"/>
      <c r="K19" s="4"/>
      <c r="L19" s="4"/>
      <c r="M19" s="4"/>
      <c r="N19" s="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2">
      <c r="A20" s="7" t="s">
        <v>16</v>
      </c>
      <c r="B20" s="7"/>
      <c r="C20" s="7"/>
      <c r="D20" s="7"/>
      <c r="E20" s="7"/>
      <c r="F20" s="7"/>
      <c r="G20" s="7"/>
      <c r="H20" s="4"/>
      <c r="I20" s="4"/>
      <c r="J20" s="4"/>
      <c r="K20" s="4"/>
      <c r="L20" s="4"/>
      <c r="M20" s="4"/>
      <c r="N20" s="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2">
      <c r="A21" s="7"/>
      <c r="B21" s="7"/>
      <c r="C21" s="7"/>
      <c r="D21" s="7"/>
      <c r="E21" s="7"/>
      <c r="F21" s="7"/>
      <c r="G21" s="7"/>
      <c r="H21" s="4"/>
      <c r="I21" s="4"/>
      <c r="J21" s="4"/>
      <c r="K21" s="4"/>
      <c r="L21" s="4"/>
      <c r="M21" s="4"/>
      <c r="N21" s="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2">
      <c r="A22" s="7" t="s">
        <v>17</v>
      </c>
      <c r="B22" s="7"/>
      <c r="C22" s="7"/>
      <c r="D22" s="7"/>
      <c r="E22" s="7"/>
      <c r="F22" s="7"/>
      <c r="G22" s="7"/>
      <c r="H22" s="4"/>
      <c r="I22" s="4"/>
      <c r="J22" s="4"/>
      <c r="K22" s="4"/>
      <c r="L22" s="4"/>
      <c r="M22" s="4"/>
      <c r="N22" s="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25">
      <c r="A23" s="7" t="s">
        <v>18</v>
      </c>
      <c r="B23" s="9" t="s">
        <v>19</v>
      </c>
      <c r="C23" s="7"/>
      <c r="D23" s="1" t="str">
        <f t="shared" ref="D23:D28" si="0">IF(AND(B23&lt;&gt;"A",B23&lt;&gt;"F"),"INCORRECT ENTRY  'A' OR 'F' ONLY"," ")</f>
        <v xml:space="preserve"> </v>
      </c>
      <c r="E23" s="1"/>
      <c r="F23" s="7"/>
      <c r="G23" s="7"/>
      <c r="H23" s="4"/>
      <c r="I23" s="4"/>
      <c r="J23" s="4"/>
      <c r="K23" s="4"/>
      <c r="L23" s="4"/>
      <c r="M23" s="4"/>
      <c r="N23" s="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25">
      <c r="A24" s="7" t="s">
        <v>20</v>
      </c>
      <c r="B24" s="10" t="s">
        <v>19</v>
      </c>
      <c r="C24" s="7"/>
      <c r="D24" s="1" t="str">
        <f t="shared" si="0"/>
        <v xml:space="preserve"> </v>
      </c>
      <c r="E24" s="1"/>
      <c r="F24" s="7"/>
      <c r="G24" s="7"/>
      <c r="H24" s="4"/>
      <c r="I24" s="4"/>
      <c r="J24" s="4"/>
      <c r="K24" s="4"/>
      <c r="L24" s="4"/>
      <c r="M24" s="4"/>
      <c r="N24" s="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25">
      <c r="A25" s="7" t="s">
        <v>21</v>
      </c>
      <c r="B25" s="10" t="s">
        <v>19</v>
      </c>
      <c r="C25" s="7"/>
      <c r="D25" s="1" t="str">
        <f t="shared" si="0"/>
        <v xml:space="preserve"> </v>
      </c>
      <c r="E25" s="1"/>
      <c r="F25" s="7"/>
      <c r="G25" s="7"/>
      <c r="H25" s="4"/>
      <c r="I25" s="4"/>
      <c r="J25" s="4"/>
      <c r="K25" s="4"/>
      <c r="L25" s="4"/>
      <c r="M25" s="4"/>
      <c r="N25" s="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5">
      <c r="A26" s="7" t="s">
        <v>22</v>
      </c>
      <c r="B26" s="10" t="s">
        <v>19</v>
      </c>
      <c r="C26" s="7"/>
      <c r="D26" s="1" t="str">
        <f t="shared" si="0"/>
        <v xml:space="preserve"> </v>
      </c>
      <c r="E26" s="1"/>
      <c r="F26" s="7"/>
      <c r="G26" s="7"/>
      <c r="H26" s="4"/>
      <c r="I26" s="4"/>
      <c r="J26" s="4"/>
      <c r="K26" s="4"/>
      <c r="L26" s="4"/>
      <c r="M26" s="4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5">
      <c r="A27" s="7" t="s">
        <v>23</v>
      </c>
      <c r="B27" s="10" t="s">
        <v>19</v>
      </c>
      <c r="C27" s="7"/>
      <c r="D27" s="1" t="str">
        <f t="shared" si="0"/>
        <v xml:space="preserve"> </v>
      </c>
      <c r="E27" s="1"/>
      <c r="F27" s="7"/>
      <c r="G27" s="7"/>
      <c r="H27" s="4"/>
      <c r="I27" s="11" t="s">
        <v>24</v>
      </c>
      <c r="J27" s="4"/>
      <c r="K27" s="4"/>
      <c r="L27" s="4"/>
      <c r="M27" s="4"/>
      <c r="N27" s="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25">
      <c r="A28" s="7" t="s">
        <v>25</v>
      </c>
      <c r="B28" s="12" t="s">
        <v>19</v>
      </c>
      <c r="C28" s="7"/>
      <c r="D28" s="1" t="str">
        <f t="shared" si="0"/>
        <v xml:space="preserve"> </v>
      </c>
      <c r="E28" s="1"/>
      <c r="F28" s="7"/>
      <c r="G28" s="7"/>
      <c r="H28" s="4"/>
      <c r="I28" s="11" t="s">
        <v>26</v>
      </c>
      <c r="J28" s="4"/>
      <c r="K28" s="4"/>
      <c r="L28" s="4"/>
      <c r="M28" s="4"/>
      <c r="N28" s="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3">
      <c r="A29" s="13"/>
      <c r="B29" s="2"/>
      <c r="C29" s="3"/>
      <c r="D29" s="2"/>
      <c r="E29" s="2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8.75" customHeight="1" x14ac:dyDescent="0.3">
      <c r="A30" s="14" t="s">
        <v>27</v>
      </c>
      <c r="B30" s="2"/>
      <c r="C30" s="3"/>
      <c r="D30" s="2"/>
      <c r="E30" s="2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3">
      <c r="A31" s="13"/>
      <c r="B31" s="2"/>
      <c r="C31" s="3"/>
      <c r="D31" s="2"/>
      <c r="E31" s="2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 x14ac:dyDescent="0.2">
      <c r="A32" s="15" t="s">
        <v>28</v>
      </c>
      <c r="B32" s="16" t="s">
        <v>29</v>
      </c>
      <c r="C32" s="17" t="s">
        <v>30</v>
      </c>
      <c r="D32" s="18"/>
      <c r="E32" s="18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6.5" customHeight="1" x14ac:dyDescent="0.25">
      <c r="A33" s="20"/>
      <c r="B33" s="18"/>
      <c r="C33" s="18"/>
      <c r="D33" s="4"/>
      <c r="E33" s="21" t="s">
        <v>31</v>
      </c>
      <c r="F33" s="22" t="str">
        <f>IF(E34="N","Reminder:"," ")</f>
        <v>Reminder: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69" t="s">
        <v>32</v>
      </c>
      <c r="B34" s="165"/>
      <c r="C34" s="165"/>
      <c r="D34" s="165"/>
      <c r="E34" s="23" t="s">
        <v>26</v>
      </c>
      <c r="F34" s="24" t="str">
        <f>IF(E34="N","The RVP value becomes a MINIMUM specification for the"," ")</f>
        <v>The RVP value becomes a MINIMUM specification for the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69" t="str">
        <f>IF(E34="N","Is this a winter time minimum oxygen content gasoline?"," ")</f>
        <v>Is this a winter time minimum oxygen content gasoline?</v>
      </c>
      <c r="B35" s="165"/>
      <c r="C35" s="165"/>
      <c r="D35" s="170"/>
      <c r="E35" s="25" t="s">
        <v>24</v>
      </c>
      <c r="F35" s="26" t="str">
        <f>IF(E34="N","CARBOB during the non-RVP season CCR 2266 5(a)(2)(B)1.)"," ")</f>
        <v>CARBOB during the non-RVP season CCR 2266 5(a)(2)(B)1.)</v>
      </c>
      <c r="G35" s="27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6.5" customHeight="1" x14ac:dyDescent="0.25">
      <c r="A36" s="1" t="s">
        <v>33</v>
      </c>
      <c r="B36" s="7"/>
      <c r="C36" s="7"/>
      <c r="D36" s="4"/>
      <c r="E36" s="25" t="s">
        <v>26</v>
      </c>
      <c r="F36" s="19"/>
      <c r="G36" s="4"/>
      <c r="H36" s="19"/>
      <c r="I36" s="1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"/>
      <c r="B37" s="7"/>
      <c r="C37" s="7"/>
      <c r="D37" s="4"/>
      <c r="E37" s="28" t="s">
        <v>34</v>
      </c>
      <c r="F37" s="19"/>
      <c r="G37" s="4"/>
      <c r="H37" s="4"/>
      <c r="I37" s="2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1"/>
      <c r="B38" s="4"/>
      <c r="C38" s="4"/>
      <c r="D38" s="30"/>
      <c r="E38" s="30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6.5" customHeight="1" x14ac:dyDescent="0.25">
      <c r="A39" s="1"/>
      <c r="B39" s="4"/>
      <c r="C39" s="4"/>
      <c r="D39" s="30"/>
      <c r="E39" s="30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9.5" customHeight="1" x14ac:dyDescent="0.25">
      <c r="A40" s="22"/>
      <c r="B40" s="31"/>
      <c r="C40" s="31"/>
      <c r="D40" s="171" t="s">
        <v>35</v>
      </c>
      <c r="E40" s="172"/>
      <c r="F40" s="19"/>
      <c r="G40" s="4"/>
      <c r="H40" s="32" t="s">
        <v>36</v>
      </c>
      <c r="I40" s="33"/>
      <c r="J40" s="34" t="s">
        <v>37</v>
      </c>
      <c r="K40" s="4"/>
      <c r="L40" s="171" t="s">
        <v>38</v>
      </c>
      <c r="M40" s="172"/>
      <c r="N40" s="4"/>
      <c r="O40" s="171" t="s">
        <v>39</v>
      </c>
      <c r="P40" s="17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34.5" customHeight="1" x14ac:dyDescent="0.25">
      <c r="A41" s="35" t="s">
        <v>40</v>
      </c>
      <c r="B41" s="36" t="s">
        <v>41</v>
      </c>
      <c r="C41" s="36" t="s">
        <v>42</v>
      </c>
      <c r="D41" s="37" t="s">
        <v>43</v>
      </c>
      <c r="E41" s="37" t="s">
        <v>44</v>
      </c>
      <c r="F41" s="38" t="s">
        <v>45</v>
      </c>
      <c r="G41" s="39" t="s">
        <v>46</v>
      </c>
      <c r="H41" s="40" t="s">
        <v>47</v>
      </c>
      <c r="I41" s="33"/>
      <c r="J41" s="37" t="s">
        <v>48</v>
      </c>
      <c r="K41" s="41"/>
      <c r="L41" s="42" t="s">
        <v>49</v>
      </c>
      <c r="M41" s="42" t="s">
        <v>50</v>
      </c>
      <c r="N41" s="4"/>
      <c r="O41" s="42" t="s">
        <v>49</v>
      </c>
      <c r="P41" s="42" t="s">
        <v>50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43" t="str">
        <f>IF(E34="Y","RVP, psi MAX.","RVP,psi MIN.")</f>
        <v>RVP,psi MIN.</v>
      </c>
      <c r="B42" s="44"/>
      <c r="C42" s="45"/>
      <c r="D42" s="46" t="str">
        <f>IF(E34="N","Not Regulated by ARB",IF(AND(E34="Y",Q42&gt;7),"Exceeds Cap",Q42))</f>
        <v>Not Regulated by ARB</v>
      </c>
      <c r="E42" s="46" t="str">
        <f>IF(E34="N","Not Regulated by ARB",IF(AND(E34="Y",Q42&gt;7),"Exceeds Cap",Q42))</f>
        <v>Not Regulated by ARB</v>
      </c>
      <c r="F42" s="38" t="s">
        <v>51</v>
      </c>
      <c r="G42" s="29" t="s">
        <v>52</v>
      </c>
      <c r="H42" s="45"/>
      <c r="I42" s="7"/>
      <c r="J42" s="45"/>
      <c r="K42" s="7"/>
      <c r="L42" s="47">
        <f>ROUND(B42,2)</f>
        <v>0</v>
      </c>
      <c r="M42" s="48">
        <f>1.446+0.961*L42</f>
        <v>1.446</v>
      </c>
      <c r="N42" s="4"/>
      <c r="O42" s="49">
        <f>ROUND(B42,2)</f>
        <v>0</v>
      </c>
      <c r="P42" s="48">
        <f>1.446+0.961*O42</f>
        <v>1.446</v>
      </c>
      <c r="Q42" s="50">
        <f>ROUND(P42,2)</f>
        <v>1.45</v>
      </c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51" t="s">
        <v>18</v>
      </c>
      <c r="B43" s="52"/>
      <c r="C43" s="53"/>
      <c r="D43" s="54">
        <f>IF('Phase 2 PM for (ETOH Min)'!B22="ETOH vol% too low",'Phase 2 PM for (ETOH Min)'!B22,IF(OR('Phase 2 PM for (ETOH Min)'!B22&lt;0,'Phase 2 PM for (ETOH Min)'!B22&gt;220),"Exceeds cap",'Phase 2 PM for (ETOH Min)'!B22))</f>
        <v>80</v>
      </c>
      <c r="E43" s="54">
        <f>IF('Phase 2 PM for (ETOH Max)'!B22="ETOH vol% too low",'Phase 2 PM for (ETOH Max)'!B22,IF(OR('Phase 2 PM for (ETOH Max)'!B22&lt;0,'Phase 2 PM for (ETOH Max)'!B22&gt;220),"Exceeds cap",'Phase 2 PM for (ETOH Max)'!B22))</f>
        <v>80</v>
      </c>
      <c r="F43" s="38" t="s">
        <v>53</v>
      </c>
      <c r="G43" s="29" t="s">
        <v>54</v>
      </c>
      <c r="H43" s="45"/>
      <c r="I43" s="7"/>
      <c r="J43" s="45"/>
      <c r="K43" s="7"/>
      <c r="L43" s="55">
        <f t="shared" ref="L43:L44" si="1">ROUND(B43,0)</f>
        <v>0</v>
      </c>
      <c r="M43" s="56">
        <f>IF($L$47&lt;4,"ETOH vol% too low",IF($L$47&lt;9,21.93+14.875*$L$47-10.238*L42+0.672*L43+0.02579*L44-0.8313*($L$47)^2-0.3103*L42*$L$47+0.06623*L43*$L$47-0.05519*L44*$L$47+0.03607*L42*L44,559.276-0.5431*L42-4.1884*L43-0.3957*L44+0.01482*L43*L43-0.05309*L43*L42+0.02884*L44*L42))</f>
        <v>79.708562999999998</v>
      </c>
      <c r="N43" s="4"/>
      <c r="O43" s="57">
        <f t="shared" ref="O43:O44" si="2">ROUND(B43,0)</f>
        <v>0</v>
      </c>
      <c r="P43" s="56">
        <f>IF($O$47&lt;4,"ETOH vol% too low",IF($O$47&lt;9,21.93+14.875*$O$47-10.238*O42+0.672*O43+0.02579*O44-0.8313*($O$47)^2-0.3103*O42*$O$47+0.06623*O43*$O$47-0.05519*O44*$O$47+0.03607*O42*O44,559.276-0.5431*O42-4.1884*O43-0.3957*O44+0.01482*O43*O43-0.05309*O43*O42+0.02884*O44*O42))</f>
        <v>79.708562999999998</v>
      </c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51" t="s">
        <v>20</v>
      </c>
      <c r="B44" s="52"/>
      <c r="C44" s="53"/>
      <c r="D44" s="54">
        <f>IF('Phase 2 PM for (ETOH Min)'!B23&gt;330,"Exceeds cap",'Phase 2 PM for (ETOH Min)'!B23)</f>
        <v>-1</v>
      </c>
      <c r="E44" s="54">
        <f>IF('Phase 2 PM for (ETOH Max)'!B23&gt;330,"Exceeds cap",'Phase 2 PM for (ETOH Max)'!B23)</f>
        <v>-1</v>
      </c>
      <c r="F44" s="38" t="s">
        <v>53</v>
      </c>
      <c r="G44" s="29" t="s">
        <v>55</v>
      </c>
      <c r="H44" s="45"/>
      <c r="I44" s="7"/>
      <c r="J44" s="45"/>
      <c r="K44" s="7"/>
      <c r="L44" s="55">
        <f t="shared" si="1"/>
        <v>0</v>
      </c>
      <c r="M44" s="56">
        <f>1.493+0.964*L44+0.0468*L43-0.473*$L$47</f>
        <v>-1.2030999999999998</v>
      </c>
      <c r="N44" s="4"/>
      <c r="O44" s="57">
        <f t="shared" si="2"/>
        <v>0</v>
      </c>
      <c r="P44" s="56">
        <f>1.493+0.964*O44+0.0468*O43-0.473*$O$47</f>
        <v>-1.2030999999999998</v>
      </c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7" t="s">
        <v>56</v>
      </c>
      <c r="B45" s="58"/>
      <c r="C45" s="59"/>
      <c r="D45" s="53">
        <f>IF('Phase 2 PM for (ETOH Min)'!B24&gt;30,"Exceeds cap",'Phase 2 PM for (ETOH Min)'!B24)</f>
        <v>0.1</v>
      </c>
      <c r="E45" s="53">
        <f>IF('Phase 2 PM for (ETOH Max)'!B24&gt;30,"Exceeds cap",'Phase 2 PM for (ETOH Max)'!B24)</f>
        <v>0.1</v>
      </c>
      <c r="F45" s="38" t="s">
        <v>57</v>
      </c>
      <c r="G45" s="29" t="s">
        <v>58</v>
      </c>
      <c r="H45" s="60">
        <v>1.7</v>
      </c>
      <c r="I45" s="61"/>
      <c r="J45" s="62">
        <f t="shared" ref="J45:J46" si="3">ROUND(C45,1)</f>
        <v>0</v>
      </c>
      <c r="K45" s="63"/>
      <c r="L45" s="64">
        <f t="shared" ref="L45:L46" si="4">ROUND(B45,1)</f>
        <v>0</v>
      </c>
      <c r="M45" s="62">
        <f t="shared" ref="M45:M46" si="5">IF($E$36="y",(1-$L$47*0.01)*L45+$L$47*0.01*J45,(1-$L$47*0.01)*L45+$L$47*0.01*H45)</f>
        <v>9.69E-2</v>
      </c>
      <c r="N45" s="4"/>
      <c r="O45" s="62">
        <f t="shared" ref="O45:O46" si="6">ROUND(B45,1)</f>
        <v>0</v>
      </c>
      <c r="P45" s="62">
        <f t="shared" ref="P45:P46" si="7">IF($E$36="y",(1-$O$47*0.01)*O45+$O$47*0.01*J45,(1-$O$47*0.01)*O45+$O$47*0.01*H45)</f>
        <v>9.69E-2</v>
      </c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7" t="s">
        <v>59</v>
      </c>
      <c r="B46" s="58"/>
      <c r="C46" s="59"/>
      <c r="D46" s="53">
        <f>IF('Phase 2 PM for (ETOH Min)'!B25&gt;10,"Exceeds cap",'Phase 2 PM for (ETOH Min)'!B25)</f>
        <v>0</v>
      </c>
      <c r="E46" s="53">
        <f>IF('Phase 2 PM for (ETOH Max)'!B25&gt;10,"Exceeds cap",'Phase 2 PM for (ETOH Max)'!B25)</f>
        <v>0</v>
      </c>
      <c r="F46" s="38" t="s">
        <v>57</v>
      </c>
      <c r="G46" s="29" t="s">
        <v>58</v>
      </c>
      <c r="H46" s="60">
        <v>0.5</v>
      </c>
      <c r="I46" s="61"/>
      <c r="J46" s="62">
        <f t="shared" si="3"/>
        <v>0</v>
      </c>
      <c r="K46" s="63"/>
      <c r="L46" s="64">
        <f t="shared" si="4"/>
        <v>0</v>
      </c>
      <c r="M46" s="62">
        <f t="shared" si="5"/>
        <v>2.8500000000000001E-2</v>
      </c>
      <c r="N46" s="4"/>
      <c r="O46" s="62">
        <f t="shared" si="6"/>
        <v>0</v>
      </c>
      <c r="P46" s="62">
        <f t="shared" si="7"/>
        <v>2.8500000000000001E-2</v>
      </c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7" t="s">
        <v>60</v>
      </c>
      <c r="B47" s="60"/>
      <c r="C47" s="60"/>
      <c r="D47" s="58">
        <v>5.7</v>
      </c>
      <c r="E47" s="58">
        <v>5.7</v>
      </c>
      <c r="F47" s="38" t="s">
        <v>57</v>
      </c>
      <c r="G47" s="29"/>
      <c r="H47" s="60"/>
      <c r="I47" s="61"/>
      <c r="J47" s="65"/>
      <c r="K47" s="66"/>
      <c r="L47" s="64">
        <f t="shared" ref="L47:L49" si="8">ROUND(D47,1)</f>
        <v>5.7</v>
      </c>
      <c r="M47" s="45"/>
      <c r="N47" s="4"/>
      <c r="O47" s="62">
        <f t="shared" ref="O47:O49" si="9">ROUND(E47,1)</f>
        <v>5.7</v>
      </c>
      <c r="P47" s="67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7" t="s">
        <v>61</v>
      </c>
      <c r="B48" s="60"/>
      <c r="C48" s="60"/>
      <c r="D48" s="68">
        <v>2.2000000000000002</v>
      </c>
      <c r="E48" s="69">
        <v>2.2000000000000002</v>
      </c>
      <c r="F48" s="38" t="s">
        <v>62</v>
      </c>
      <c r="G48" s="29"/>
      <c r="H48" s="60"/>
      <c r="I48" s="61"/>
      <c r="J48" s="65"/>
      <c r="K48" s="66"/>
      <c r="L48" s="64">
        <f t="shared" si="8"/>
        <v>2.2000000000000002</v>
      </c>
      <c r="M48" s="45"/>
      <c r="N48" s="70"/>
      <c r="O48" s="62">
        <f t="shared" si="9"/>
        <v>2.2000000000000002</v>
      </c>
      <c r="P48" s="67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7" t="s">
        <v>63</v>
      </c>
      <c r="B49" s="60"/>
      <c r="C49" s="60"/>
      <c r="D49" s="58">
        <v>1.8</v>
      </c>
      <c r="E49" s="71">
        <f>D49</f>
        <v>1.8</v>
      </c>
      <c r="F49" s="38" t="s">
        <v>62</v>
      </c>
      <c r="G49" s="29"/>
      <c r="H49" s="60"/>
      <c r="I49" s="61"/>
      <c r="J49" s="65"/>
      <c r="K49" s="66"/>
      <c r="L49" s="64">
        <f t="shared" si="8"/>
        <v>1.8</v>
      </c>
      <c r="M49" s="45"/>
      <c r="N49" s="70"/>
      <c r="O49" s="62">
        <f t="shared" si="9"/>
        <v>1.8</v>
      </c>
      <c r="P49" s="67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7" t="s">
        <v>23</v>
      </c>
      <c r="B50" s="52"/>
      <c r="C50" s="72"/>
      <c r="D50" s="54">
        <f>IF('Phase 2 PM for (ETOH Min)'!B29&gt;80,"Exceeds cap",'Phase 2 PM for (ETOH Min)'!B29)</f>
        <v>1</v>
      </c>
      <c r="E50" s="54">
        <f>IF('Phase 2 PM for (ETOH Max)'!B29&gt;80,"Exceeds cap",'Phase 2 PM for (ETOH Max)'!B29)</f>
        <v>1</v>
      </c>
      <c r="F50" s="38" t="s">
        <v>64</v>
      </c>
      <c r="G50" s="29" t="s">
        <v>58</v>
      </c>
      <c r="H50" s="60">
        <v>10</v>
      </c>
      <c r="I50" s="61"/>
      <c r="J50" s="57">
        <f>ROUND(C50,0)</f>
        <v>0</v>
      </c>
      <c r="K50" s="73"/>
      <c r="L50" s="55">
        <f>ROUND(B50,0)</f>
        <v>0</v>
      </c>
      <c r="M50" s="57">
        <f>IF($E$36="y",((1-$L$47*0.01)*L50*0.718+$L$47*0.01*J50*0.788)/((1-$L$47*0.01)*0.718+$L$47*0.01*0.788),((1-$L$47*0.01)*L50*0.718+$L$47*0.01*H50*0.788)/((1-$L$47*0.01)*0.718+$L$47*0.01*0.788))</f>
        <v>0.62211387969362475</v>
      </c>
      <c r="N50" s="4"/>
      <c r="O50" s="57">
        <f>ROUND(B50,0)</f>
        <v>0</v>
      </c>
      <c r="P50" s="57">
        <f>IF($E$36="y",((1-$O$47*0.01)*O50*0.718+$O$47*0.01*J50*0.788)/((1-$O$47*0.01)*0.718+$O$47*0.01*0.788),((1-$O$47*0.01)*O50*0.718+$O$47*0.01*H50*0.788)/((1-$O$47*0.01)*0.718+$O$47*0.01*0.788))</f>
        <v>0.62211387969362475</v>
      </c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6.5" customHeight="1" x14ac:dyDescent="0.25">
      <c r="A51" s="7" t="s">
        <v>65</v>
      </c>
      <c r="B51" s="74"/>
      <c r="C51" s="75"/>
      <c r="D51" s="76">
        <f>IF('Phase 2 PM for (ETOH Min)'!B30&gt;1.2,"Exceeds cap",'Phase 2 PM for (ETOH Min)'!B30)</f>
        <v>0</v>
      </c>
      <c r="E51" s="76">
        <f>IF('Phase 2 PM for (ETOH Max)'!B30&gt;1.2,"Exceeds cap",'Phase 2 PM for (ETOH Max)'!B30)</f>
        <v>0</v>
      </c>
      <c r="F51" s="38" t="s">
        <v>57</v>
      </c>
      <c r="G51" s="29" t="s">
        <v>58</v>
      </c>
      <c r="H51" s="77">
        <v>0.06</v>
      </c>
      <c r="I51" s="61"/>
      <c r="J51" s="78">
        <f>ROUND(C51,2)</f>
        <v>0</v>
      </c>
      <c r="K51" s="79"/>
      <c r="L51" s="80">
        <f>ROUND(B51,2)</f>
        <v>0</v>
      </c>
      <c r="M51" s="78">
        <f>IF($E$36="y",(1-$L$47*0.01)*L51+$L$47*0.01*J51,(1-$L$47*0.01)*L51+$L$47*0.01*H51)</f>
        <v>3.4199999999999999E-3</v>
      </c>
      <c r="N51" s="4"/>
      <c r="O51" s="78">
        <f>ROUND(B51,2)</f>
        <v>0</v>
      </c>
      <c r="P51" s="78">
        <f>IF($E$36="y",(1-$O$47*0.01)*O51+$O$47*0.01*J51,(1-$O$47*0.01)*O51+$O$47*0.01*H51)</f>
        <v>3.4199999999999999E-3</v>
      </c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8" customHeight="1" x14ac:dyDescent="0.25">
      <c r="A52" s="4"/>
      <c r="B52" s="4"/>
      <c r="C52" s="2"/>
      <c r="D52" s="81" t="str">
        <f>IF(OR(D42="Exceeds cap",D43="Exceeds Cap",D43="ETOH vol% too low",D44="Exceeds cap",D45="Exceeds cap",D46="Exceeds cap",D50="Exceeds cap",D51="Exceeds cap",AND(E34="N",E35="Y",D49&lt;1.8)),"Will not Calculate",'Phase 2 PM for (ETOH Min)'!C71)</f>
        <v>FAILS</v>
      </c>
      <c r="E52" s="81" t="str">
        <f>IF(OR(E42="Exceeds cap",E43="Exceeds cap",E43="ETOH vol% too low",E44="Exceeds cap",E45="Exceeds cap",E46="Exceeds cap",E50="Exceeds cap",E51="Exceeds cap",AND(E34="N",E35="Y",D49&lt;1.8)),"Will not Calculate",'Phase 2 PM for (ETOH Max)'!C71)</f>
        <v>FAILS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173" t="str">
        <f>IF(OR(D42="Exceeds CAP",D43="Exceeds CAP",D44="Exceeds CAP",D45="Exceeds CAP",D46="Exceeds CAP",D50="Exceeds CAP",D51="Exceeds CAP",D43="ETOH vol% too low",D52="Will not Calculate",E52="Will not Calculate"),"A Pass/Fail determination  for the CARBOB + ETOH will not be made due to input error"," ")</f>
        <v xml:space="preserve"> </v>
      </c>
      <c r="B53" s="165"/>
      <c r="C53" s="165"/>
      <c r="D53" s="165"/>
      <c r="E53" s="165"/>
      <c r="F53" s="165"/>
      <c r="G53" s="165"/>
      <c r="H53" s="4"/>
      <c r="I53" s="4"/>
      <c r="J53" s="29" t="s">
        <v>66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2"/>
      <c r="C54" s="2"/>
      <c r="D54" s="2"/>
      <c r="E54" s="2"/>
      <c r="F54" s="4"/>
      <c r="G54" s="4"/>
      <c r="H54" s="4"/>
      <c r="I54" s="4"/>
      <c r="J54" s="4"/>
      <c r="K54" s="82">
        <f>AVERAGE(D47)</f>
        <v>5.7</v>
      </c>
      <c r="L54" s="29" t="s">
        <v>57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"/>
      <c r="C55" s="2"/>
      <c r="D55" s="2"/>
      <c r="E55" s="2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9.5" customHeight="1" x14ac:dyDescent="0.25">
      <c r="A56" s="167" t="str">
        <f>IF(A53=" ","THE CANDIDATE CARBOB"," ")</f>
        <v>THE CANDIDATE CARBOB</v>
      </c>
      <c r="B56" s="165"/>
      <c r="C56" s="83" t="str">
        <f>IF(A53=" ",IF(AND(D52="PASSES",E52="PASSES"),"PASSES","FAILS")," ")</f>
        <v>FAILS</v>
      </c>
      <c r="D56" s="164" t="str">
        <f>IF(A53=" ","SINCE THE PERCENT CHANGE IN EMISSIONS"," ")</f>
        <v>SINCE THE PERCENT CHANGE IN EMISSIONS</v>
      </c>
      <c r="E56" s="165"/>
      <c r="F56" s="165"/>
      <c r="G56" s="165"/>
      <c r="H56" s="16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166" t="str">
        <f>IF(A53=" ","BETWEEN THE FUEL PRODUCED BY BLENDING THE CANDIDATE CARBOB WITH THE"," ")</f>
        <v>BETWEEN THE FUEL PRODUCED BY BLENDING THE CANDIDATE CARBOB WITH THE</v>
      </c>
      <c r="B57" s="165"/>
      <c r="C57" s="165"/>
      <c r="D57" s="165"/>
      <c r="E57" s="165"/>
      <c r="F57" s="165"/>
      <c r="G57" s="165"/>
      <c r="H57" s="165"/>
      <c r="I57" s="2"/>
      <c r="J57" s="2"/>
      <c r="K57" s="2"/>
      <c r="L57" s="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67" t="str">
        <f>IF(A53=" ","SPECIFIED AMOUNT OF ETHANOL AND THE REFERENCE FUEL IS:"," ")</f>
        <v>SPECIFIED AMOUNT OF ETHANOL AND THE REFERENCE FUEL IS:</v>
      </c>
      <c r="B58" s="165"/>
      <c r="C58" s="165"/>
      <c r="D58" s="165"/>
      <c r="E58" s="84" t="str">
        <f>IF(AND(A53=" ",$C56="passes"),"LESS THAN OR EQUAL TO 0.04%",IF(AND(A53=" ",$C56="FAILS"),"GREATER THAN OR EQUAL TO 0.05%"," "))</f>
        <v>GREATER THAN OR EQUAL TO 0.05%</v>
      </c>
      <c r="F58" s="84"/>
      <c r="G58" s="84"/>
      <c r="H58" s="4"/>
      <c r="I58" s="4"/>
      <c r="J58" s="84"/>
      <c r="K58" s="84"/>
      <c r="L58" s="84"/>
      <c r="M58" s="4"/>
      <c r="N58" s="85"/>
      <c r="O58" s="2"/>
      <c r="P58" s="2"/>
      <c r="Q58" s="2"/>
      <c r="R58" s="4"/>
      <c r="S58" s="4"/>
      <c r="T58" s="4"/>
      <c r="U58" s="4"/>
      <c r="V58" s="4"/>
      <c r="W58" s="4"/>
      <c r="X58" s="4"/>
      <c r="Y58" s="4"/>
      <c r="Z58" s="4"/>
    </row>
    <row r="59" spans="1:26" ht="15" customHeight="1" x14ac:dyDescent="0.2">
      <c r="A59" s="168" t="str">
        <f>IF(A53=" ","See next worksheet Phase 2 PM for PM Flat for details of emission %"," ")</f>
        <v>See next worksheet Phase 2 PM for PM Flat for details of emission %</v>
      </c>
      <c r="B59" s="165"/>
      <c r="C59" s="165"/>
      <c r="D59" s="165"/>
      <c r="E59" s="165"/>
      <c r="F59" s="165"/>
      <c r="G59" s="16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2"/>
      <c r="C60" s="2"/>
      <c r="D60" s="2"/>
      <c r="E60" s="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2"/>
      <c r="C61" s="2"/>
      <c r="D61" s="2"/>
      <c r="E61" s="2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2"/>
      <c r="C62" s="2"/>
      <c r="D62" s="2"/>
      <c r="E62" s="2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2"/>
      <c r="C63" s="2"/>
      <c r="D63" s="2"/>
      <c r="E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2"/>
      <c r="C64" s="2"/>
      <c r="D64" s="2"/>
      <c r="E64" s="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2"/>
      <c r="C65" s="2"/>
      <c r="D65" s="2"/>
      <c r="E65" s="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2"/>
      <c r="C66" s="2"/>
      <c r="D66" s="2"/>
      <c r="E66" s="2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2"/>
      <c r="C67" s="2"/>
      <c r="D67" s="2"/>
      <c r="E67" s="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2"/>
      <c r="C68" s="2"/>
      <c r="D68" s="2"/>
      <c r="E68" s="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2"/>
      <c r="C69" s="2"/>
      <c r="D69" s="2"/>
      <c r="E69" s="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2"/>
      <c r="C70" s="2"/>
      <c r="D70" s="2"/>
      <c r="E70" s="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2"/>
      <c r="C71" s="2"/>
      <c r="D71" s="2"/>
      <c r="E71" s="2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2"/>
      <c r="C72" s="2"/>
      <c r="D72" s="2"/>
      <c r="E72" s="2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2"/>
      <c r="C73" s="2"/>
      <c r="D73" s="2"/>
      <c r="E73" s="2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2"/>
      <c r="C74" s="2"/>
      <c r="D74" s="2"/>
      <c r="E74" s="2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2"/>
      <c r="C75" s="2"/>
      <c r="D75" s="2"/>
      <c r="E75" s="2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2"/>
      <c r="C76" s="2"/>
      <c r="D76" s="2"/>
      <c r="E76" s="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2"/>
      <c r="C77" s="2"/>
      <c r="D77" s="2"/>
      <c r="E77" s="2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2"/>
      <c r="C78" s="2"/>
      <c r="D78" s="2"/>
      <c r="E78" s="2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2"/>
      <c r="C79" s="2"/>
      <c r="D79" s="2"/>
      <c r="E79" s="2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2"/>
      <c r="C80" s="2"/>
      <c r="D80" s="2"/>
      <c r="E80" s="2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2"/>
      <c r="C81" s="2"/>
      <c r="D81" s="2"/>
      <c r="E81" s="2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2"/>
      <c r="C82" s="2"/>
      <c r="D82" s="2"/>
      <c r="E82" s="2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2"/>
      <c r="C83" s="2"/>
      <c r="D83" s="2"/>
      <c r="E83" s="2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2"/>
      <c r="C84" s="2"/>
      <c r="D84" s="2"/>
      <c r="E84" s="2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2"/>
      <c r="C85" s="2"/>
      <c r="D85" s="2"/>
      <c r="E85" s="2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2"/>
      <c r="C86" s="2"/>
      <c r="D86" s="2"/>
      <c r="E86" s="2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2"/>
      <c r="C87" s="2"/>
      <c r="D87" s="2"/>
      <c r="E87" s="2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2"/>
      <c r="C88" s="2"/>
      <c r="D88" s="2"/>
      <c r="E88" s="2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2"/>
      <c r="C89" s="2"/>
      <c r="D89" s="2"/>
      <c r="E89" s="2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2"/>
      <c r="C90" s="2"/>
      <c r="D90" s="2"/>
      <c r="E90" s="2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2"/>
      <c r="C91" s="2"/>
      <c r="D91" s="2"/>
      <c r="E91" s="2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2"/>
      <c r="C92" s="2"/>
      <c r="D92" s="2"/>
      <c r="E92" s="2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2"/>
      <c r="C93" s="2"/>
      <c r="D93" s="2"/>
      <c r="E93" s="2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2"/>
      <c r="C94" s="2"/>
      <c r="D94" s="2"/>
      <c r="E94" s="2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2"/>
      <c r="C95" s="2"/>
      <c r="D95" s="2"/>
      <c r="E95" s="2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2"/>
      <c r="C96" s="2"/>
      <c r="D96" s="2"/>
      <c r="E96" s="2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2"/>
      <c r="C97" s="2"/>
      <c r="D97" s="2"/>
      <c r="E97" s="2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2"/>
      <c r="C98" s="2"/>
      <c r="D98" s="2"/>
      <c r="E98" s="2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2"/>
      <c r="C99" s="2"/>
      <c r="D99" s="2"/>
      <c r="E99" s="2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2"/>
      <c r="C100" s="2"/>
      <c r="D100" s="2"/>
      <c r="E100" s="2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2"/>
      <c r="C101" s="2"/>
      <c r="D101" s="2"/>
      <c r="E101" s="2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2"/>
      <c r="C102" s="2"/>
      <c r="D102" s="2"/>
      <c r="E102" s="2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2"/>
      <c r="C103" s="2"/>
      <c r="D103" s="2"/>
      <c r="E103" s="2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2"/>
      <c r="C104" s="2"/>
      <c r="D104" s="2"/>
      <c r="E104" s="2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2"/>
      <c r="C105" s="2"/>
      <c r="D105" s="2"/>
      <c r="E105" s="2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2"/>
      <c r="C106" s="2"/>
      <c r="D106" s="2"/>
      <c r="E106" s="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2"/>
      <c r="C107" s="2"/>
      <c r="D107" s="2"/>
      <c r="E107" s="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2"/>
      <c r="C108" s="2"/>
      <c r="D108" s="2"/>
      <c r="E108" s="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2"/>
      <c r="C109" s="2"/>
      <c r="D109" s="2"/>
      <c r="E109" s="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2"/>
      <c r="C110" s="2"/>
      <c r="D110" s="2"/>
      <c r="E110" s="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2"/>
      <c r="C111" s="2"/>
      <c r="D111" s="2"/>
      <c r="E111" s="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2"/>
      <c r="C112" s="2"/>
      <c r="D112" s="2"/>
      <c r="E112" s="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2"/>
      <c r="C113" s="2"/>
      <c r="D113" s="2"/>
      <c r="E113" s="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2"/>
      <c r="C114" s="2"/>
      <c r="D114" s="2"/>
      <c r="E114" s="2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2"/>
      <c r="C115" s="2"/>
      <c r="D115" s="2"/>
      <c r="E115" s="2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2"/>
      <c r="C116" s="2"/>
      <c r="D116" s="2"/>
      <c r="E116" s="2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2"/>
      <c r="C117" s="2"/>
      <c r="D117" s="2"/>
      <c r="E117" s="2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2"/>
      <c r="C118" s="2"/>
      <c r="D118" s="2"/>
      <c r="E118" s="2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2"/>
      <c r="C119" s="2"/>
      <c r="D119" s="2"/>
      <c r="E119" s="2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2"/>
      <c r="C120" s="2"/>
      <c r="D120" s="2"/>
      <c r="E120" s="2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2"/>
      <c r="C121" s="2"/>
      <c r="D121" s="2"/>
      <c r="E121" s="2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2"/>
      <c r="C122" s="2"/>
      <c r="D122" s="2"/>
      <c r="E122" s="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2"/>
      <c r="C123" s="2"/>
      <c r="D123" s="2"/>
      <c r="E123" s="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2"/>
      <c r="C124" s="2"/>
      <c r="D124" s="2"/>
      <c r="E124" s="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2"/>
      <c r="C125" s="2"/>
      <c r="D125" s="2"/>
      <c r="E125" s="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2"/>
      <c r="C126" s="2"/>
      <c r="D126" s="2"/>
      <c r="E126" s="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2"/>
      <c r="C127" s="2"/>
      <c r="D127" s="2"/>
      <c r="E127" s="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2"/>
      <c r="C128" s="2"/>
      <c r="D128" s="2"/>
      <c r="E128" s="2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2"/>
      <c r="C129" s="2"/>
      <c r="D129" s="2"/>
      <c r="E129" s="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2"/>
      <c r="C130" s="2"/>
      <c r="D130" s="2"/>
      <c r="E130" s="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2"/>
      <c r="C131" s="2"/>
      <c r="D131" s="2"/>
      <c r="E131" s="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2"/>
      <c r="C132" s="2"/>
      <c r="D132" s="2"/>
      <c r="E132" s="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2"/>
      <c r="C133" s="2"/>
      <c r="D133" s="2"/>
      <c r="E133" s="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2"/>
      <c r="C134" s="2"/>
      <c r="D134" s="2"/>
      <c r="E134" s="2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2"/>
      <c r="C135" s="2"/>
      <c r="D135" s="2"/>
      <c r="E135" s="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2"/>
      <c r="C136" s="2"/>
      <c r="D136" s="2"/>
      <c r="E136" s="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2"/>
      <c r="C137" s="2"/>
      <c r="D137" s="2"/>
      <c r="E137" s="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2"/>
      <c r="C138" s="2"/>
      <c r="D138" s="2"/>
      <c r="E138" s="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2"/>
      <c r="C139" s="2"/>
      <c r="D139" s="2"/>
      <c r="E139" s="2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2"/>
      <c r="C140" s="2"/>
      <c r="D140" s="2"/>
      <c r="E140" s="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2"/>
      <c r="C141" s="2"/>
      <c r="D141" s="2"/>
      <c r="E141" s="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2"/>
      <c r="C142" s="2"/>
      <c r="D142" s="2"/>
      <c r="E142" s="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2"/>
      <c r="C143" s="2"/>
      <c r="D143" s="2"/>
      <c r="E143" s="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2"/>
      <c r="C144" s="2"/>
      <c r="D144" s="2"/>
      <c r="E144" s="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2"/>
      <c r="C145" s="2"/>
      <c r="D145" s="2"/>
      <c r="E145" s="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2"/>
      <c r="C146" s="2"/>
      <c r="D146" s="2"/>
      <c r="E146" s="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2"/>
      <c r="C147" s="2"/>
      <c r="D147" s="2"/>
      <c r="E147" s="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2"/>
      <c r="C148" s="2"/>
      <c r="D148" s="2"/>
      <c r="E148" s="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2"/>
      <c r="C149" s="2"/>
      <c r="D149" s="2"/>
      <c r="E149" s="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2"/>
      <c r="C150" s="2"/>
      <c r="D150" s="2"/>
      <c r="E150" s="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2"/>
      <c r="C151" s="2"/>
      <c r="D151" s="2"/>
      <c r="E151" s="2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2"/>
      <c r="C152" s="2"/>
      <c r="D152" s="2"/>
      <c r="E152" s="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2"/>
      <c r="C153" s="2"/>
      <c r="D153" s="2"/>
      <c r="E153" s="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2"/>
      <c r="C154" s="2"/>
      <c r="D154" s="2"/>
      <c r="E154" s="2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2"/>
      <c r="C155" s="2"/>
      <c r="D155" s="2"/>
      <c r="E155" s="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2"/>
      <c r="C156" s="2"/>
      <c r="D156" s="2"/>
      <c r="E156" s="2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2"/>
      <c r="C157" s="2"/>
      <c r="D157" s="2"/>
      <c r="E157" s="2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2"/>
      <c r="C158" s="2"/>
      <c r="D158" s="2"/>
      <c r="E158" s="2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2"/>
      <c r="C159" s="2"/>
      <c r="D159" s="2"/>
      <c r="E159" s="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2"/>
      <c r="C160" s="2"/>
      <c r="D160" s="2"/>
      <c r="E160" s="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2"/>
      <c r="C161" s="2"/>
      <c r="D161" s="2"/>
      <c r="E161" s="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2"/>
      <c r="C162" s="2"/>
      <c r="D162" s="2"/>
      <c r="E162" s="2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2"/>
      <c r="C163" s="2"/>
      <c r="D163" s="2"/>
      <c r="E163" s="2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2"/>
      <c r="C164" s="2"/>
      <c r="D164" s="2"/>
      <c r="E164" s="2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2"/>
      <c r="C165" s="2"/>
      <c r="D165" s="2"/>
      <c r="E165" s="2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2"/>
      <c r="C166" s="2"/>
      <c r="D166" s="2"/>
      <c r="E166" s="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2"/>
      <c r="C167" s="2"/>
      <c r="D167" s="2"/>
      <c r="E167" s="2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2"/>
      <c r="C168" s="2"/>
      <c r="D168" s="2"/>
      <c r="E168" s="2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2"/>
      <c r="C169" s="2"/>
      <c r="D169" s="2"/>
      <c r="E169" s="2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2"/>
      <c r="C170" s="2"/>
      <c r="D170" s="2"/>
      <c r="E170" s="2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2"/>
      <c r="C171" s="2"/>
      <c r="D171" s="2"/>
      <c r="E171" s="2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2"/>
      <c r="C172" s="2"/>
      <c r="D172" s="2"/>
      <c r="E172" s="2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2"/>
      <c r="C173" s="2"/>
      <c r="D173" s="2"/>
      <c r="E173" s="2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2"/>
      <c r="C174" s="2"/>
      <c r="D174" s="2"/>
      <c r="E174" s="2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2"/>
      <c r="C175" s="2"/>
      <c r="D175" s="2"/>
      <c r="E175" s="2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2"/>
      <c r="C176" s="2"/>
      <c r="D176" s="2"/>
      <c r="E176" s="2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2"/>
      <c r="C177" s="2"/>
      <c r="D177" s="2"/>
      <c r="E177" s="2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2"/>
      <c r="C178" s="2"/>
      <c r="D178" s="2"/>
      <c r="E178" s="2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2"/>
      <c r="C179" s="2"/>
      <c r="D179" s="2"/>
      <c r="E179" s="2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2"/>
      <c r="C180" s="2"/>
      <c r="D180" s="2"/>
      <c r="E180" s="2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2"/>
      <c r="C181" s="2"/>
      <c r="D181" s="2"/>
      <c r="E181" s="2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2"/>
      <c r="C182" s="2"/>
      <c r="D182" s="2"/>
      <c r="E182" s="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2"/>
      <c r="C183" s="2"/>
      <c r="D183" s="2"/>
      <c r="E183" s="2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2"/>
      <c r="C184" s="2"/>
      <c r="D184" s="2"/>
      <c r="E184" s="2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2"/>
      <c r="C185" s="2"/>
      <c r="D185" s="2"/>
      <c r="E185" s="2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2"/>
      <c r="C186" s="2"/>
      <c r="D186" s="2"/>
      <c r="E186" s="2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2"/>
      <c r="C187" s="2"/>
      <c r="D187" s="2"/>
      <c r="E187" s="2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2"/>
      <c r="C188" s="2"/>
      <c r="D188" s="2"/>
      <c r="E188" s="2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2"/>
      <c r="C189" s="2"/>
      <c r="D189" s="2"/>
      <c r="E189" s="2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2"/>
      <c r="C190" s="2"/>
      <c r="D190" s="2"/>
      <c r="E190" s="2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2"/>
      <c r="C191" s="2"/>
      <c r="D191" s="2"/>
      <c r="E191" s="2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2"/>
      <c r="C192" s="2"/>
      <c r="D192" s="2"/>
      <c r="E192" s="2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2"/>
      <c r="C193" s="2"/>
      <c r="D193" s="2"/>
      <c r="E193" s="2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2"/>
      <c r="C194" s="2"/>
      <c r="D194" s="2"/>
      <c r="E194" s="2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2"/>
      <c r="C195" s="2"/>
      <c r="D195" s="2"/>
      <c r="E195" s="2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2"/>
      <c r="C196" s="2"/>
      <c r="D196" s="2"/>
      <c r="E196" s="2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2"/>
      <c r="C197" s="2"/>
      <c r="D197" s="2"/>
      <c r="E197" s="2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2"/>
      <c r="C198" s="2"/>
      <c r="D198" s="2"/>
      <c r="E198" s="2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2"/>
      <c r="C199" s="2"/>
      <c r="D199" s="2"/>
      <c r="E199" s="2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2"/>
      <c r="C200" s="2"/>
      <c r="D200" s="2"/>
      <c r="E200" s="2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2"/>
      <c r="C201" s="2"/>
      <c r="D201" s="2"/>
      <c r="E201" s="2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2"/>
      <c r="C202" s="2"/>
      <c r="D202" s="2"/>
      <c r="E202" s="2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2"/>
      <c r="C203" s="2"/>
      <c r="D203" s="2"/>
      <c r="E203" s="2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2"/>
      <c r="C204" s="2"/>
      <c r="D204" s="2"/>
      <c r="E204" s="2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2"/>
      <c r="C205" s="2"/>
      <c r="D205" s="2"/>
      <c r="E205" s="2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2"/>
      <c r="C206" s="2"/>
      <c r="D206" s="2"/>
      <c r="E206" s="2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2"/>
      <c r="C207" s="2"/>
      <c r="D207" s="2"/>
      <c r="E207" s="2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2"/>
      <c r="C208" s="2"/>
      <c r="D208" s="2"/>
      <c r="E208" s="2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2"/>
      <c r="C209" s="2"/>
      <c r="D209" s="2"/>
      <c r="E209" s="2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2"/>
      <c r="C210" s="2"/>
      <c r="D210" s="2"/>
      <c r="E210" s="2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2"/>
      <c r="C211" s="2"/>
      <c r="D211" s="2"/>
      <c r="E211" s="2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2"/>
      <c r="C212" s="2"/>
      <c r="D212" s="2"/>
      <c r="E212" s="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2"/>
      <c r="C213" s="2"/>
      <c r="D213" s="2"/>
      <c r="E213" s="2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2"/>
      <c r="C214" s="2"/>
      <c r="D214" s="2"/>
      <c r="E214" s="2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2"/>
      <c r="C215" s="2"/>
      <c r="D215" s="2"/>
      <c r="E215" s="2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2"/>
      <c r="C216" s="2"/>
      <c r="D216" s="2"/>
      <c r="E216" s="2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2"/>
      <c r="C217" s="2"/>
      <c r="D217" s="2"/>
      <c r="E217" s="2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2"/>
      <c r="C218" s="2"/>
      <c r="D218" s="2"/>
      <c r="E218" s="2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2"/>
      <c r="C219" s="2"/>
      <c r="D219" s="2"/>
      <c r="E219" s="2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2"/>
      <c r="C220" s="2"/>
      <c r="D220" s="2"/>
      <c r="E220" s="2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2"/>
      <c r="C221" s="2"/>
      <c r="D221" s="2"/>
      <c r="E221" s="2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2"/>
      <c r="C222" s="2"/>
      <c r="D222" s="2"/>
      <c r="E222" s="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2"/>
      <c r="C223" s="2"/>
      <c r="D223" s="2"/>
      <c r="E223" s="2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2"/>
      <c r="C224" s="2"/>
      <c r="D224" s="2"/>
      <c r="E224" s="2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2"/>
      <c r="C225" s="2"/>
      <c r="D225" s="2"/>
      <c r="E225" s="2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2"/>
      <c r="C226" s="2"/>
      <c r="D226" s="2"/>
      <c r="E226" s="2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2"/>
      <c r="C227" s="2"/>
      <c r="D227" s="2"/>
      <c r="E227" s="2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2"/>
      <c r="C228" s="2"/>
      <c r="D228" s="2"/>
      <c r="E228" s="2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2"/>
      <c r="C229" s="2"/>
      <c r="D229" s="2"/>
      <c r="E229" s="2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2"/>
      <c r="C230" s="2"/>
      <c r="D230" s="2"/>
      <c r="E230" s="2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2"/>
      <c r="C231" s="2"/>
      <c r="D231" s="2"/>
      <c r="E231" s="2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2"/>
      <c r="C232" s="2"/>
      <c r="D232" s="2"/>
      <c r="E232" s="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2"/>
      <c r="C233" s="2"/>
      <c r="D233" s="2"/>
      <c r="E233" s="2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2"/>
      <c r="C234" s="2"/>
      <c r="D234" s="2"/>
      <c r="E234" s="2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2"/>
      <c r="C235" s="2"/>
      <c r="D235" s="2"/>
      <c r="E235" s="2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2"/>
      <c r="C236" s="2"/>
      <c r="D236" s="2"/>
      <c r="E236" s="2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2"/>
      <c r="C237" s="2"/>
      <c r="D237" s="2"/>
      <c r="E237" s="2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2"/>
      <c r="C238" s="2"/>
      <c r="D238" s="2"/>
      <c r="E238" s="2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2"/>
      <c r="C239" s="2"/>
      <c r="D239" s="2"/>
      <c r="E239" s="2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2"/>
      <c r="C240" s="2"/>
      <c r="D240" s="2"/>
      <c r="E240" s="2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2"/>
      <c r="C241" s="2"/>
      <c r="D241" s="2"/>
      <c r="E241" s="2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2"/>
      <c r="C242" s="2"/>
      <c r="D242" s="2"/>
      <c r="E242" s="2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2"/>
      <c r="C243" s="2"/>
      <c r="D243" s="2"/>
      <c r="E243" s="2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2"/>
      <c r="C244" s="2"/>
      <c r="D244" s="2"/>
      <c r="E244" s="2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2"/>
      <c r="C245" s="2"/>
      <c r="D245" s="2"/>
      <c r="E245" s="2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2"/>
      <c r="C246" s="2"/>
      <c r="D246" s="2"/>
      <c r="E246" s="2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2"/>
      <c r="C247" s="2"/>
      <c r="D247" s="2"/>
      <c r="E247" s="2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2"/>
      <c r="C248" s="2"/>
      <c r="D248" s="2"/>
      <c r="E248" s="2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2"/>
      <c r="C249" s="2"/>
      <c r="D249" s="2"/>
      <c r="E249" s="2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2"/>
      <c r="C250" s="2"/>
      <c r="D250" s="2"/>
      <c r="E250" s="2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2"/>
      <c r="C251" s="2"/>
      <c r="D251" s="2"/>
      <c r="E251" s="2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2"/>
      <c r="C252" s="2"/>
      <c r="D252" s="2"/>
      <c r="E252" s="2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2"/>
      <c r="C253" s="2"/>
      <c r="D253" s="2"/>
      <c r="E253" s="2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2"/>
      <c r="C254" s="2"/>
      <c r="D254" s="2"/>
      <c r="E254" s="2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2"/>
      <c r="C255" s="2"/>
      <c r="D255" s="2"/>
      <c r="E255" s="2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2"/>
      <c r="C256" s="2"/>
      <c r="D256" s="2"/>
      <c r="E256" s="2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2"/>
      <c r="C257" s="2"/>
      <c r="D257" s="2"/>
      <c r="E257" s="2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2"/>
      <c r="C258" s="2"/>
      <c r="D258" s="2"/>
      <c r="E258" s="2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2"/>
      <c r="C259" s="2"/>
      <c r="D259" s="2"/>
      <c r="E259" s="2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2"/>
      <c r="C260" s="2"/>
      <c r="D260" s="2"/>
      <c r="E260" s="2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2"/>
      <c r="C261" s="2"/>
      <c r="D261" s="2"/>
      <c r="E261" s="2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2"/>
      <c r="C262" s="2"/>
      <c r="D262" s="2"/>
      <c r="E262" s="2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2"/>
      <c r="C263" s="2"/>
      <c r="D263" s="2"/>
      <c r="E263" s="2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2"/>
      <c r="C264" s="2"/>
      <c r="D264" s="2"/>
      <c r="E264" s="2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2"/>
      <c r="C265" s="2"/>
      <c r="D265" s="2"/>
      <c r="E265" s="2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2"/>
      <c r="C266" s="2"/>
      <c r="D266" s="2"/>
      <c r="E266" s="2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2"/>
      <c r="C267" s="2"/>
      <c r="D267" s="2"/>
      <c r="E267" s="2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2"/>
      <c r="C268" s="2"/>
      <c r="D268" s="2"/>
      <c r="E268" s="2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2"/>
      <c r="C269" s="2"/>
      <c r="D269" s="2"/>
      <c r="E269" s="2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2"/>
      <c r="C270" s="2"/>
      <c r="D270" s="2"/>
      <c r="E270" s="2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2"/>
      <c r="C271" s="2"/>
      <c r="D271" s="2"/>
      <c r="E271" s="2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2"/>
      <c r="C272" s="2"/>
      <c r="D272" s="2"/>
      <c r="E272" s="2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2"/>
      <c r="C273" s="2"/>
      <c r="D273" s="2"/>
      <c r="E273" s="2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2"/>
      <c r="C274" s="2"/>
      <c r="D274" s="2"/>
      <c r="E274" s="2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2"/>
      <c r="C275" s="2"/>
      <c r="D275" s="2"/>
      <c r="E275" s="2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2"/>
      <c r="C276" s="2"/>
      <c r="D276" s="2"/>
      <c r="E276" s="2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2"/>
      <c r="C277" s="2"/>
      <c r="D277" s="2"/>
      <c r="E277" s="2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2"/>
      <c r="C278" s="2"/>
      <c r="D278" s="2"/>
      <c r="E278" s="2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2"/>
      <c r="C279" s="2"/>
      <c r="D279" s="2"/>
      <c r="E279" s="2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2"/>
      <c r="C280" s="2"/>
      <c r="D280" s="2"/>
      <c r="E280" s="2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2"/>
      <c r="C281" s="2"/>
      <c r="D281" s="2"/>
      <c r="E281" s="2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2"/>
      <c r="C282" s="2"/>
      <c r="D282" s="2"/>
      <c r="E282" s="2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2"/>
      <c r="C283" s="2"/>
      <c r="D283" s="2"/>
      <c r="E283" s="2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2"/>
      <c r="C284" s="2"/>
      <c r="D284" s="2"/>
      <c r="E284" s="2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2"/>
      <c r="C285" s="2"/>
      <c r="D285" s="2"/>
      <c r="E285" s="2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2"/>
      <c r="C286" s="2"/>
      <c r="D286" s="2"/>
      <c r="E286" s="2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2"/>
      <c r="C287" s="2"/>
      <c r="D287" s="2"/>
      <c r="E287" s="2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2"/>
      <c r="C288" s="2"/>
      <c r="D288" s="2"/>
      <c r="E288" s="2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2"/>
      <c r="C289" s="2"/>
      <c r="D289" s="2"/>
      <c r="E289" s="2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2"/>
      <c r="C290" s="2"/>
      <c r="D290" s="2"/>
      <c r="E290" s="2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2"/>
      <c r="C291" s="2"/>
      <c r="D291" s="2"/>
      <c r="E291" s="2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2"/>
      <c r="C292" s="2"/>
      <c r="D292" s="2"/>
      <c r="E292" s="2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2"/>
      <c r="C293" s="2"/>
      <c r="D293" s="2"/>
      <c r="E293" s="2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2"/>
      <c r="C294" s="2"/>
      <c r="D294" s="2"/>
      <c r="E294" s="2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2"/>
      <c r="C295" s="2"/>
      <c r="D295" s="2"/>
      <c r="E295" s="2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2"/>
      <c r="C296" s="2"/>
      <c r="D296" s="2"/>
      <c r="E296" s="2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2"/>
      <c r="C297" s="2"/>
      <c r="D297" s="2"/>
      <c r="E297" s="2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2"/>
      <c r="C298" s="2"/>
      <c r="D298" s="2"/>
      <c r="E298" s="2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2"/>
      <c r="C299" s="2"/>
      <c r="D299" s="2"/>
      <c r="E299" s="2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2"/>
      <c r="C300" s="2"/>
      <c r="D300" s="2"/>
      <c r="E300" s="2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2"/>
      <c r="C301" s="2"/>
      <c r="D301" s="2"/>
      <c r="E301" s="2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2"/>
      <c r="C302" s="2"/>
      <c r="D302" s="2"/>
      <c r="E302" s="2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2"/>
      <c r="C303" s="2"/>
      <c r="D303" s="2"/>
      <c r="E303" s="2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2"/>
      <c r="C304" s="2"/>
      <c r="D304" s="2"/>
      <c r="E304" s="2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2"/>
      <c r="C305" s="2"/>
      <c r="D305" s="2"/>
      <c r="E305" s="2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2"/>
      <c r="C306" s="2"/>
      <c r="D306" s="2"/>
      <c r="E306" s="2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2"/>
      <c r="C307" s="2"/>
      <c r="D307" s="2"/>
      <c r="E307" s="2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2"/>
      <c r="C308" s="2"/>
      <c r="D308" s="2"/>
      <c r="E308" s="2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2"/>
      <c r="C309" s="2"/>
      <c r="D309" s="2"/>
      <c r="E309" s="2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2"/>
      <c r="C310" s="2"/>
      <c r="D310" s="2"/>
      <c r="E310" s="2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2"/>
      <c r="C311" s="2"/>
      <c r="D311" s="2"/>
      <c r="E311" s="2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2"/>
      <c r="C312" s="2"/>
      <c r="D312" s="2"/>
      <c r="E312" s="2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2"/>
      <c r="C313" s="2"/>
      <c r="D313" s="2"/>
      <c r="E313" s="2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2"/>
      <c r="C314" s="2"/>
      <c r="D314" s="2"/>
      <c r="E314" s="2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2"/>
      <c r="C315" s="2"/>
      <c r="D315" s="2"/>
      <c r="E315" s="2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2"/>
      <c r="C316" s="2"/>
      <c r="D316" s="2"/>
      <c r="E316" s="2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2"/>
      <c r="C317" s="2"/>
      <c r="D317" s="2"/>
      <c r="E317" s="2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2"/>
      <c r="C318" s="2"/>
      <c r="D318" s="2"/>
      <c r="E318" s="2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2"/>
      <c r="C319" s="2"/>
      <c r="D319" s="2"/>
      <c r="E319" s="2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2"/>
      <c r="C320" s="2"/>
      <c r="D320" s="2"/>
      <c r="E320" s="2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2"/>
      <c r="C321" s="2"/>
      <c r="D321" s="2"/>
      <c r="E321" s="2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2"/>
      <c r="C322" s="2"/>
      <c r="D322" s="2"/>
      <c r="E322" s="2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2"/>
      <c r="C323" s="2"/>
      <c r="D323" s="2"/>
      <c r="E323" s="2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2"/>
      <c r="C324" s="2"/>
      <c r="D324" s="2"/>
      <c r="E324" s="2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2"/>
      <c r="C325" s="2"/>
      <c r="D325" s="2"/>
      <c r="E325" s="2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2"/>
      <c r="C326" s="2"/>
      <c r="D326" s="2"/>
      <c r="E326" s="2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2"/>
      <c r="C327" s="2"/>
      <c r="D327" s="2"/>
      <c r="E327" s="2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2"/>
      <c r="C328" s="2"/>
      <c r="D328" s="2"/>
      <c r="E328" s="2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2"/>
      <c r="C329" s="2"/>
      <c r="D329" s="2"/>
      <c r="E329" s="2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2"/>
      <c r="C330" s="2"/>
      <c r="D330" s="2"/>
      <c r="E330" s="2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2"/>
      <c r="C331" s="2"/>
      <c r="D331" s="2"/>
      <c r="E331" s="2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2"/>
      <c r="C332" s="2"/>
      <c r="D332" s="2"/>
      <c r="E332" s="2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2"/>
      <c r="C333" s="2"/>
      <c r="D333" s="2"/>
      <c r="E333" s="2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2"/>
      <c r="C334" s="2"/>
      <c r="D334" s="2"/>
      <c r="E334" s="2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2"/>
      <c r="C335" s="2"/>
      <c r="D335" s="2"/>
      <c r="E335" s="2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2"/>
      <c r="C336" s="2"/>
      <c r="D336" s="2"/>
      <c r="E336" s="2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2"/>
      <c r="C337" s="2"/>
      <c r="D337" s="2"/>
      <c r="E337" s="2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2"/>
      <c r="C338" s="2"/>
      <c r="D338" s="2"/>
      <c r="E338" s="2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2"/>
      <c r="C339" s="2"/>
      <c r="D339" s="2"/>
      <c r="E339" s="2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2"/>
      <c r="C340" s="2"/>
      <c r="D340" s="2"/>
      <c r="E340" s="2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2"/>
      <c r="C341" s="2"/>
      <c r="D341" s="2"/>
      <c r="E341" s="2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2"/>
      <c r="C342" s="2"/>
      <c r="D342" s="2"/>
      <c r="E342" s="2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2"/>
      <c r="C343" s="2"/>
      <c r="D343" s="2"/>
      <c r="E343" s="2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2"/>
      <c r="C344" s="2"/>
      <c r="D344" s="2"/>
      <c r="E344" s="2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2"/>
      <c r="C345" s="2"/>
      <c r="D345" s="2"/>
      <c r="E345" s="2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2"/>
      <c r="C346" s="2"/>
      <c r="D346" s="2"/>
      <c r="E346" s="2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2"/>
      <c r="C347" s="2"/>
      <c r="D347" s="2"/>
      <c r="E347" s="2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2"/>
      <c r="C348" s="2"/>
      <c r="D348" s="2"/>
      <c r="E348" s="2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2"/>
      <c r="C349" s="2"/>
      <c r="D349" s="2"/>
      <c r="E349" s="2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2"/>
      <c r="C350" s="2"/>
      <c r="D350" s="2"/>
      <c r="E350" s="2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2"/>
      <c r="C351" s="2"/>
      <c r="D351" s="2"/>
      <c r="E351" s="2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2"/>
      <c r="C352" s="2"/>
      <c r="D352" s="2"/>
      <c r="E352" s="2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2"/>
      <c r="C353" s="2"/>
      <c r="D353" s="2"/>
      <c r="E353" s="2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2"/>
      <c r="C354" s="2"/>
      <c r="D354" s="2"/>
      <c r="E354" s="2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2"/>
      <c r="C355" s="2"/>
      <c r="D355" s="2"/>
      <c r="E355" s="2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2"/>
      <c r="C356" s="2"/>
      <c r="D356" s="2"/>
      <c r="E356" s="2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2"/>
      <c r="C357" s="2"/>
      <c r="D357" s="2"/>
      <c r="E357" s="2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2"/>
      <c r="C358" s="2"/>
      <c r="D358" s="2"/>
      <c r="E358" s="2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2"/>
      <c r="C359" s="2"/>
      <c r="D359" s="2"/>
      <c r="E359" s="2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2"/>
      <c r="C360" s="2"/>
      <c r="D360" s="2"/>
      <c r="E360" s="2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2"/>
      <c r="C361" s="2"/>
      <c r="D361" s="2"/>
      <c r="E361" s="2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2"/>
      <c r="C362" s="2"/>
      <c r="D362" s="2"/>
      <c r="E362" s="2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2"/>
      <c r="C363" s="2"/>
      <c r="D363" s="2"/>
      <c r="E363" s="2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2"/>
      <c r="C364" s="2"/>
      <c r="D364" s="2"/>
      <c r="E364" s="2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2"/>
      <c r="C365" s="2"/>
      <c r="D365" s="2"/>
      <c r="E365" s="2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2"/>
      <c r="C366" s="2"/>
      <c r="D366" s="2"/>
      <c r="E366" s="2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2"/>
      <c r="C367" s="2"/>
      <c r="D367" s="2"/>
      <c r="E367" s="2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2"/>
      <c r="C368" s="2"/>
      <c r="D368" s="2"/>
      <c r="E368" s="2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2"/>
      <c r="C369" s="2"/>
      <c r="D369" s="2"/>
      <c r="E369" s="2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2"/>
      <c r="C370" s="2"/>
      <c r="D370" s="2"/>
      <c r="E370" s="2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2"/>
      <c r="C371" s="2"/>
      <c r="D371" s="2"/>
      <c r="E371" s="2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2"/>
      <c r="C372" s="2"/>
      <c r="D372" s="2"/>
      <c r="E372" s="2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2"/>
      <c r="C373" s="2"/>
      <c r="D373" s="2"/>
      <c r="E373" s="2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2"/>
      <c r="C374" s="2"/>
      <c r="D374" s="2"/>
      <c r="E374" s="2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2"/>
      <c r="C375" s="2"/>
      <c r="D375" s="2"/>
      <c r="E375" s="2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2"/>
      <c r="C376" s="2"/>
      <c r="D376" s="2"/>
      <c r="E376" s="2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2"/>
      <c r="C377" s="2"/>
      <c r="D377" s="2"/>
      <c r="E377" s="2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2"/>
      <c r="C378" s="2"/>
      <c r="D378" s="2"/>
      <c r="E378" s="2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2"/>
      <c r="C379" s="2"/>
      <c r="D379" s="2"/>
      <c r="E379" s="2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2"/>
      <c r="C380" s="2"/>
      <c r="D380" s="2"/>
      <c r="E380" s="2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2"/>
      <c r="C381" s="2"/>
      <c r="D381" s="2"/>
      <c r="E381" s="2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2"/>
      <c r="C382" s="2"/>
      <c r="D382" s="2"/>
      <c r="E382" s="2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2"/>
      <c r="C383" s="2"/>
      <c r="D383" s="2"/>
      <c r="E383" s="2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2"/>
      <c r="C384" s="2"/>
      <c r="D384" s="2"/>
      <c r="E384" s="2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2"/>
      <c r="C385" s="2"/>
      <c r="D385" s="2"/>
      <c r="E385" s="2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2"/>
      <c r="C386" s="2"/>
      <c r="D386" s="2"/>
      <c r="E386" s="2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2"/>
      <c r="C387" s="2"/>
      <c r="D387" s="2"/>
      <c r="E387" s="2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2"/>
      <c r="C388" s="2"/>
      <c r="D388" s="2"/>
      <c r="E388" s="2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2"/>
      <c r="C389" s="2"/>
      <c r="D389" s="2"/>
      <c r="E389" s="2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2"/>
      <c r="C390" s="2"/>
      <c r="D390" s="2"/>
      <c r="E390" s="2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2"/>
      <c r="C391" s="2"/>
      <c r="D391" s="2"/>
      <c r="E391" s="2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2"/>
      <c r="C392" s="2"/>
      <c r="D392" s="2"/>
      <c r="E392" s="2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2"/>
      <c r="C393" s="2"/>
      <c r="D393" s="2"/>
      <c r="E393" s="2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2"/>
      <c r="C394" s="2"/>
      <c r="D394" s="2"/>
      <c r="E394" s="2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2"/>
      <c r="C395" s="2"/>
      <c r="D395" s="2"/>
      <c r="E395" s="2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2"/>
      <c r="C396" s="2"/>
      <c r="D396" s="2"/>
      <c r="E396" s="2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2"/>
      <c r="C397" s="2"/>
      <c r="D397" s="2"/>
      <c r="E397" s="2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2"/>
      <c r="C398" s="2"/>
      <c r="D398" s="2"/>
      <c r="E398" s="2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2"/>
      <c r="C399" s="2"/>
      <c r="D399" s="2"/>
      <c r="E399" s="2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2"/>
      <c r="C400" s="2"/>
      <c r="D400" s="2"/>
      <c r="E400" s="2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2"/>
      <c r="C401" s="2"/>
      <c r="D401" s="2"/>
      <c r="E401" s="2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2"/>
      <c r="C402" s="2"/>
      <c r="D402" s="2"/>
      <c r="E402" s="2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2"/>
      <c r="C403" s="2"/>
      <c r="D403" s="2"/>
      <c r="E403" s="2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2"/>
      <c r="C404" s="2"/>
      <c r="D404" s="2"/>
      <c r="E404" s="2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2"/>
      <c r="C405" s="2"/>
      <c r="D405" s="2"/>
      <c r="E405" s="2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2"/>
      <c r="C406" s="2"/>
      <c r="D406" s="2"/>
      <c r="E406" s="2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2"/>
      <c r="C407" s="2"/>
      <c r="D407" s="2"/>
      <c r="E407" s="2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2"/>
      <c r="C408" s="2"/>
      <c r="D408" s="2"/>
      <c r="E408" s="2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2"/>
      <c r="C409" s="2"/>
      <c r="D409" s="2"/>
      <c r="E409" s="2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2"/>
      <c r="C410" s="2"/>
      <c r="D410" s="2"/>
      <c r="E410" s="2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2"/>
      <c r="C411" s="2"/>
      <c r="D411" s="2"/>
      <c r="E411" s="2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2"/>
      <c r="C412" s="2"/>
      <c r="D412" s="2"/>
      <c r="E412" s="2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2"/>
      <c r="C413" s="2"/>
      <c r="D413" s="2"/>
      <c r="E413" s="2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2"/>
      <c r="C414" s="2"/>
      <c r="D414" s="2"/>
      <c r="E414" s="2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2"/>
      <c r="C415" s="2"/>
      <c r="D415" s="2"/>
      <c r="E415" s="2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2"/>
      <c r="C416" s="2"/>
      <c r="D416" s="2"/>
      <c r="E416" s="2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2"/>
      <c r="C417" s="2"/>
      <c r="D417" s="2"/>
      <c r="E417" s="2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2"/>
      <c r="C418" s="2"/>
      <c r="D418" s="2"/>
      <c r="E418" s="2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2"/>
      <c r="C419" s="2"/>
      <c r="D419" s="2"/>
      <c r="E419" s="2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2"/>
      <c r="C420" s="2"/>
      <c r="D420" s="2"/>
      <c r="E420" s="2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2"/>
      <c r="C421" s="2"/>
      <c r="D421" s="2"/>
      <c r="E421" s="2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2"/>
      <c r="C422" s="2"/>
      <c r="D422" s="2"/>
      <c r="E422" s="2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2"/>
      <c r="C423" s="2"/>
      <c r="D423" s="2"/>
      <c r="E423" s="2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2"/>
      <c r="C424" s="2"/>
      <c r="D424" s="2"/>
      <c r="E424" s="2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2"/>
      <c r="C425" s="2"/>
      <c r="D425" s="2"/>
      <c r="E425" s="2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2"/>
      <c r="C426" s="2"/>
      <c r="D426" s="2"/>
      <c r="E426" s="2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2"/>
      <c r="C427" s="2"/>
      <c r="D427" s="2"/>
      <c r="E427" s="2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2"/>
      <c r="C428" s="2"/>
      <c r="D428" s="2"/>
      <c r="E428" s="2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2"/>
      <c r="C429" s="2"/>
      <c r="D429" s="2"/>
      <c r="E429" s="2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2"/>
      <c r="C430" s="2"/>
      <c r="D430" s="2"/>
      <c r="E430" s="2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2"/>
      <c r="C431" s="2"/>
      <c r="D431" s="2"/>
      <c r="E431" s="2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2"/>
      <c r="C432" s="2"/>
      <c r="D432" s="2"/>
      <c r="E432" s="2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2"/>
      <c r="C433" s="2"/>
      <c r="D433" s="2"/>
      <c r="E433" s="2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2"/>
      <c r="C434" s="2"/>
      <c r="D434" s="2"/>
      <c r="E434" s="2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2"/>
      <c r="C435" s="2"/>
      <c r="D435" s="2"/>
      <c r="E435" s="2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2"/>
      <c r="C436" s="2"/>
      <c r="D436" s="2"/>
      <c r="E436" s="2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2"/>
      <c r="C437" s="2"/>
      <c r="D437" s="2"/>
      <c r="E437" s="2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2"/>
      <c r="C438" s="2"/>
      <c r="D438" s="2"/>
      <c r="E438" s="2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2"/>
      <c r="C439" s="2"/>
      <c r="D439" s="2"/>
      <c r="E439" s="2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2"/>
      <c r="C440" s="2"/>
      <c r="D440" s="2"/>
      <c r="E440" s="2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2"/>
      <c r="C441" s="2"/>
      <c r="D441" s="2"/>
      <c r="E441" s="2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2"/>
      <c r="C442" s="2"/>
      <c r="D442" s="2"/>
      <c r="E442" s="2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2"/>
      <c r="C443" s="2"/>
      <c r="D443" s="2"/>
      <c r="E443" s="2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2"/>
      <c r="C444" s="2"/>
      <c r="D444" s="2"/>
      <c r="E444" s="2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2"/>
      <c r="C445" s="2"/>
      <c r="D445" s="2"/>
      <c r="E445" s="2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2"/>
      <c r="C446" s="2"/>
      <c r="D446" s="2"/>
      <c r="E446" s="2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2"/>
      <c r="C447" s="2"/>
      <c r="D447" s="2"/>
      <c r="E447" s="2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2"/>
      <c r="C448" s="2"/>
      <c r="D448" s="2"/>
      <c r="E448" s="2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2"/>
      <c r="C449" s="2"/>
      <c r="D449" s="2"/>
      <c r="E449" s="2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2"/>
      <c r="C450" s="2"/>
      <c r="D450" s="2"/>
      <c r="E450" s="2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2"/>
      <c r="C451" s="2"/>
      <c r="D451" s="2"/>
      <c r="E451" s="2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2"/>
      <c r="C452" s="2"/>
      <c r="D452" s="2"/>
      <c r="E452" s="2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2"/>
      <c r="C453" s="2"/>
      <c r="D453" s="2"/>
      <c r="E453" s="2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2"/>
      <c r="C454" s="2"/>
      <c r="D454" s="2"/>
      <c r="E454" s="2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2"/>
      <c r="C455" s="2"/>
      <c r="D455" s="2"/>
      <c r="E455" s="2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2"/>
      <c r="C456" s="2"/>
      <c r="D456" s="2"/>
      <c r="E456" s="2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2"/>
      <c r="C457" s="2"/>
      <c r="D457" s="2"/>
      <c r="E457" s="2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2"/>
      <c r="C458" s="2"/>
      <c r="D458" s="2"/>
      <c r="E458" s="2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2"/>
      <c r="C459" s="2"/>
      <c r="D459" s="2"/>
      <c r="E459" s="2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2"/>
      <c r="C460" s="2"/>
      <c r="D460" s="2"/>
      <c r="E460" s="2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2"/>
      <c r="C461" s="2"/>
      <c r="D461" s="2"/>
      <c r="E461" s="2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2"/>
      <c r="C462" s="2"/>
      <c r="D462" s="2"/>
      <c r="E462" s="2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2"/>
      <c r="C463" s="2"/>
      <c r="D463" s="2"/>
      <c r="E463" s="2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2"/>
      <c r="C464" s="2"/>
      <c r="D464" s="2"/>
      <c r="E464" s="2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2"/>
      <c r="C465" s="2"/>
      <c r="D465" s="2"/>
      <c r="E465" s="2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2"/>
      <c r="C466" s="2"/>
      <c r="D466" s="2"/>
      <c r="E466" s="2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2"/>
      <c r="C467" s="2"/>
      <c r="D467" s="2"/>
      <c r="E467" s="2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2"/>
      <c r="C468" s="2"/>
      <c r="D468" s="2"/>
      <c r="E468" s="2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2"/>
      <c r="C469" s="2"/>
      <c r="D469" s="2"/>
      <c r="E469" s="2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2"/>
      <c r="C470" s="2"/>
      <c r="D470" s="2"/>
      <c r="E470" s="2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2"/>
      <c r="C471" s="2"/>
      <c r="D471" s="2"/>
      <c r="E471" s="2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2"/>
      <c r="C472" s="2"/>
      <c r="D472" s="2"/>
      <c r="E472" s="2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2"/>
      <c r="C473" s="2"/>
      <c r="D473" s="2"/>
      <c r="E473" s="2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2"/>
      <c r="C474" s="2"/>
      <c r="D474" s="2"/>
      <c r="E474" s="2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2"/>
      <c r="C475" s="2"/>
      <c r="D475" s="2"/>
      <c r="E475" s="2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2"/>
      <c r="C476" s="2"/>
      <c r="D476" s="2"/>
      <c r="E476" s="2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2"/>
      <c r="C477" s="2"/>
      <c r="D477" s="2"/>
      <c r="E477" s="2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2"/>
      <c r="C478" s="2"/>
      <c r="D478" s="2"/>
      <c r="E478" s="2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2"/>
      <c r="C479" s="2"/>
      <c r="D479" s="2"/>
      <c r="E479" s="2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2"/>
      <c r="C480" s="2"/>
      <c r="D480" s="2"/>
      <c r="E480" s="2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2"/>
      <c r="C481" s="2"/>
      <c r="D481" s="2"/>
      <c r="E481" s="2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2"/>
      <c r="C482" s="2"/>
      <c r="D482" s="2"/>
      <c r="E482" s="2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2"/>
      <c r="C483" s="2"/>
      <c r="D483" s="2"/>
      <c r="E483" s="2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2"/>
      <c r="C484" s="2"/>
      <c r="D484" s="2"/>
      <c r="E484" s="2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2"/>
      <c r="C485" s="2"/>
      <c r="D485" s="2"/>
      <c r="E485" s="2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2"/>
      <c r="C486" s="2"/>
      <c r="D486" s="2"/>
      <c r="E486" s="2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2"/>
      <c r="C487" s="2"/>
      <c r="D487" s="2"/>
      <c r="E487" s="2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2"/>
      <c r="C488" s="2"/>
      <c r="D488" s="2"/>
      <c r="E488" s="2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2"/>
      <c r="C489" s="2"/>
      <c r="D489" s="2"/>
      <c r="E489" s="2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2"/>
      <c r="C490" s="2"/>
      <c r="D490" s="2"/>
      <c r="E490" s="2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2"/>
      <c r="C491" s="2"/>
      <c r="D491" s="2"/>
      <c r="E491" s="2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2"/>
      <c r="C492" s="2"/>
      <c r="D492" s="2"/>
      <c r="E492" s="2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2"/>
      <c r="C493" s="2"/>
      <c r="D493" s="2"/>
      <c r="E493" s="2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2"/>
      <c r="C494" s="2"/>
      <c r="D494" s="2"/>
      <c r="E494" s="2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2"/>
      <c r="C495" s="2"/>
      <c r="D495" s="2"/>
      <c r="E495" s="2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2"/>
      <c r="C496" s="2"/>
      <c r="D496" s="2"/>
      <c r="E496" s="2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2"/>
      <c r="C497" s="2"/>
      <c r="D497" s="2"/>
      <c r="E497" s="2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2"/>
      <c r="C498" s="2"/>
      <c r="D498" s="2"/>
      <c r="E498" s="2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2"/>
      <c r="C499" s="2"/>
      <c r="D499" s="2"/>
      <c r="E499" s="2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2"/>
      <c r="C500" s="2"/>
      <c r="D500" s="2"/>
      <c r="E500" s="2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2"/>
      <c r="C501" s="2"/>
      <c r="D501" s="2"/>
      <c r="E501" s="2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2"/>
      <c r="C502" s="2"/>
      <c r="D502" s="2"/>
      <c r="E502" s="2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2"/>
      <c r="C503" s="2"/>
      <c r="D503" s="2"/>
      <c r="E503" s="2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2"/>
      <c r="C504" s="2"/>
      <c r="D504" s="2"/>
      <c r="E504" s="2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2"/>
      <c r="C505" s="2"/>
      <c r="D505" s="2"/>
      <c r="E505" s="2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2"/>
      <c r="C506" s="2"/>
      <c r="D506" s="2"/>
      <c r="E506" s="2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2"/>
      <c r="C507" s="2"/>
      <c r="D507" s="2"/>
      <c r="E507" s="2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2"/>
      <c r="C508" s="2"/>
      <c r="D508" s="2"/>
      <c r="E508" s="2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2"/>
      <c r="C509" s="2"/>
      <c r="D509" s="2"/>
      <c r="E509" s="2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2"/>
      <c r="C510" s="2"/>
      <c r="D510" s="2"/>
      <c r="E510" s="2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2"/>
      <c r="C511" s="2"/>
      <c r="D511" s="2"/>
      <c r="E511" s="2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2"/>
      <c r="C512" s="2"/>
      <c r="D512" s="2"/>
      <c r="E512" s="2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2"/>
      <c r="C513" s="2"/>
      <c r="D513" s="2"/>
      <c r="E513" s="2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2"/>
      <c r="C514" s="2"/>
      <c r="D514" s="2"/>
      <c r="E514" s="2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2"/>
      <c r="C515" s="2"/>
      <c r="D515" s="2"/>
      <c r="E515" s="2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2"/>
      <c r="C516" s="2"/>
      <c r="D516" s="2"/>
      <c r="E516" s="2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2"/>
      <c r="C517" s="2"/>
      <c r="D517" s="2"/>
      <c r="E517" s="2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2"/>
      <c r="C518" s="2"/>
      <c r="D518" s="2"/>
      <c r="E518" s="2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2"/>
      <c r="C519" s="2"/>
      <c r="D519" s="2"/>
      <c r="E519" s="2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2"/>
      <c r="C520" s="2"/>
      <c r="D520" s="2"/>
      <c r="E520" s="2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2"/>
      <c r="C521" s="2"/>
      <c r="D521" s="2"/>
      <c r="E521" s="2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2"/>
      <c r="C522" s="2"/>
      <c r="D522" s="2"/>
      <c r="E522" s="2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2"/>
      <c r="C523" s="2"/>
      <c r="D523" s="2"/>
      <c r="E523" s="2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2"/>
      <c r="C524" s="2"/>
      <c r="D524" s="2"/>
      <c r="E524" s="2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2"/>
      <c r="C525" s="2"/>
      <c r="D525" s="2"/>
      <c r="E525" s="2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2"/>
      <c r="C526" s="2"/>
      <c r="D526" s="2"/>
      <c r="E526" s="2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2"/>
      <c r="C527" s="2"/>
      <c r="D527" s="2"/>
      <c r="E527" s="2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2"/>
      <c r="C528" s="2"/>
      <c r="D528" s="2"/>
      <c r="E528" s="2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2"/>
      <c r="C529" s="2"/>
      <c r="D529" s="2"/>
      <c r="E529" s="2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2"/>
      <c r="C530" s="2"/>
      <c r="D530" s="2"/>
      <c r="E530" s="2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2"/>
      <c r="C531" s="2"/>
      <c r="D531" s="2"/>
      <c r="E531" s="2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2"/>
      <c r="C532" s="2"/>
      <c r="D532" s="2"/>
      <c r="E532" s="2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2"/>
      <c r="C533" s="2"/>
      <c r="D533" s="2"/>
      <c r="E533" s="2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2"/>
      <c r="C534" s="2"/>
      <c r="D534" s="2"/>
      <c r="E534" s="2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2"/>
      <c r="C535" s="2"/>
      <c r="D535" s="2"/>
      <c r="E535" s="2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2"/>
      <c r="C536" s="2"/>
      <c r="D536" s="2"/>
      <c r="E536" s="2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2"/>
      <c r="C537" s="2"/>
      <c r="D537" s="2"/>
      <c r="E537" s="2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2"/>
      <c r="C538" s="2"/>
      <c r="D538" s="2"/>
      <c r="E538" s="2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2"/>
      <c r="C539" s="2"/>
      <c r="D539" s="2"/>
      <c r="E539" s="2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2"/>
      <c r="C540" s="2"/>
      <c r="D540" s="2"/>
      <c r="E540" s="2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2"/>
      <c r="C541" s="2"/>
      <c r="D541" s="2"/>
      <c r="E541" s="2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2"/>
      <c r="C542" s="2"/>
      <c r="D542" s="2"/>
      <c r="E542" s="2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2"/>
      <c r="C543" s="2"/>
      <c r="D543" s="2"/>
      <c r="E543" s="2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2"/>
      <c r="C544" s="2"/>
      <c r="D544" s="2"/>
      <c r="E544" s="2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2"/>
      <c r="C545" s="2"/>
      <c r="D545" s="2"/>
      <c r="E545" s="2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2"/>
      <c r="C546" s="2"/>
      <c r="D546" s="2"/>
      <c r="E546" s="2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2"/>
      <c r="C547" s="2"/>
      <c r="D547" s="2"/>
      <c r="E547" s="2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2"/>
      <c r="C548" s="2"/>
      <c r="D548" s="2"/>
      <c r="E548" s="2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2"/>
      <c r="C549" s="2"/>
      <c r="D549" s="2"/>
      <c r="E549" s="2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2"/>
      <c r="C550" s="2"/>
      <c r="D550" s="2"/>
      <c r="E550" s="2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2"/>
      <c r="C551" s="2"/>
      <c r="D551" s="2"/>
      <c r="E551" s="2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2"/>
      <c r="C552" s="2"/>
      <c r="D552" s="2"/>
      <c r="E552" s="2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2"/>
      <c r="C553" s="2"/>
      <c r="D553" s="2"/>
      <c r="E553" s="2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2"/>
      <c r="C554" s="2"/>
      <c r="D554" s="2"/>
      <c r="E554" s="2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2"/>
      <c r="C555" s="2"/>
      <c r="D555" s="2"/>
      <c r="E555" s="2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2"/>
      <c r="C556" s="2"/>
      <c r="D556" s="2"/>
      <c r="E556" s="2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2"/>
      <c r="C557" s="2"/>
      <c r="D557" s="2"/>
      <c r="E557" s="2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2"/>
      <c r="C558" s="2"/>
      <c r="D558" s="2"/>
      <c r="E558" s="2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2"/>
      <c r="C559" s="2"/>
      <c r="D559" s="2"/>
      <c r="E559" s="2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2"/>
      <c r="C560" s="2"/>
      <c r="D560" s="2"/>
      <c r="E560" s="2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2"/>
      <c r="C561" s="2"/>
      <c r="D561" s="2"/>
      <c r="E561" s="2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2"/>
      <c r="C562" s="2"/>
      <c r="D562" s="2"/>
      <c r="E562" s="2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2"/>
      <c r="C563" s="2"/>
      <c r="D563" s="2"/>
      <c r="E563" s="2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2"/>
      <c r="C564" s="2"/>
      <c r="D564" s="2"/>
      <c r="E564" s="2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2"/>
      <c r="C565" s="2"/>
      <c r="D565" s="2"/>
      <c r="E565" s="2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2"/>
      <c r="C566" s="2"/>
      <c r="D566" s="2"/>
      <c r="E566" s="2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2"/>
      <c r="C567" s="2"/>
      <c r="D567" s="2"/>
      <c r="E567" s="2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2"/>
      <c r="C568" s="2"/>
      <c r="D568" s="2"/>
      <c r="E568" s="2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2"/>
      <c r="C569" s="2"/>
      <c r="D569" s="2"/>
      <c r="E569" s="2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2"/>
      <c r="C570" s="2"/>
      <c r="D570" s="2"/>
      <c r="E570" s="2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2"/>
      <c r="C571" s="2"/>
      <c r="D571" s="2"/>
      <c r="E571" s="2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2"/>
      <c r="C572" s="2"/>
      <c r="D572" s="2"/>
      <c r="E572" s="2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2"/>
      <c r="C573" s="2"/>
      <c r="D573" s="2"/>
      <c r="E573" s="2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2"/>
      <c r="C574" s="2"/>
      <c r="D574" s="2"/>
      <c r="E574" s="2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2"/>
      <c r="C575" s="2"/>
      <c r="D575" s="2"/>
      <c r="E575" s="2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2"/>
      <c r="C576" s="2"/>
      <c r="D576" s="2"/>
      <c r="E576" s="2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2"/>
      <c r="C577" s="2"/>
      <c r="D577" s="2"/>
      <c r="E577" s="2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2"/>
      <c r="C578" s="2"/>
      <c r="D578" s="2"/>
      <c r="E578" s="2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2"/>
      <c r="C579" s="2"/>
      <c r="D579" s="2"/>
      <c r="E579" s="2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2"/>
      <c r="C580" s="2"/>
      <c r="D580" s="2"/>
      <c r="E580" s="2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2"/>
      <c r="C581" s="2"/>
      <c r="D581" s="2"/>
      <c r="E581" s="2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2"/>
      <c r="C582" s="2"/>
      <c r="D582" s="2"/>
      <c r="E582" s="2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2"/>
      <c r="C583" s="2"/>
      <c r="D583" s="2"/>
      <c r="E583" s="2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2"/>
      <c r="C584" s="2"/>
      <c r="D584" s="2"/>
      <c r="E584" s="2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2"/>
      <c r="C585" s="2"/>
      <c r="D585" s="2"/>
      <c r="E585" s="2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2"/>
      <c r="C586" s="2"/>
      <c r="D586" s="2"/>
      <c r="E586" s="2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2"/>
      <c r="C587" s="2"/>
      <c r="D587" s="2"/>
      <c r="E587" s="2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2"/>
      <c r="C588" s="2"/>
      <c r="D588" s="2"/>
      <c r="E588" s="2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2"/>
      <c r="C589" s="2"/>
      <c r="D589" s="2"/>
      <c r="E589" s="2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2"/>
      <c r="C590" s="2"/>
      <c r="D590" s="2"/>
      <c r="E590" s="2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2"/>
      <c r="C591" s="2"/>
      <c r="D591" s="2"/>
      <c r="E591" s="2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2"/>
      <c r="C592" s="2"/>
      <c r="D592" s="2"/>
      <c r="E592" s="2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2"/>
      <c r="C593" s="2"/>
      <c r="D593" s="2"/>
      <c r="E593" s="2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2"/>
      <c r="C594" s="2"/>
      <c r="D594" s="2"/>
      <c r="E594" s="2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2"/>
      <c r="C595" s="2"/>
      <c r="D595" s="2"/>
      <c r="E595" s="2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2"/>
      <c r="C596" s="2"/>
      <c r="D596" s="2"/>
      <c r="E596" s="2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2"/>
      <c r="C597" s="2"/>
      <c r="D597" s="2"/>
      <c r="E597" s="2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2"/>
      <c r="C598" s="2"/>
      <c r="D598" s="2"/>
      <c r="E598" s="2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2"/>
      <c r="C599" s="2"/>
      <c r="D599" s="2"/>
      <c r="E599" s="2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2"/>
      <c r="C600" s="2"/>
      <c r="D600" s="2"/>
      <c r="E600" s="2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2"/>
      <c r="C601" s="2"/>
      <c r="D601" s="2"/>
      <c r="E601" s="2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2"/>
      <c r="C602" s="2"/>
      <c r="D602" s="2"/>
      <c r="E602" s="2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2"/>
      <c r="C603" s="2"/>
      <c r="D603" s="2"/>
      <c r="E603" s="2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2"/>
      <c r="C604" s="2"/>
      <c r="D604" s="2"/>
      <c r="E604" s="2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2"/>
      <c r="C605" s="2"/>
      <c r="D605" s="2"/>
      <c r="E605" s="2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2"/>
      <c r="C606" s="2"/>
      <c r="D606" s="2"/>
      <c r="E606" s="2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2"/>
      <c r="C607" s="2"/>
      <c r="D607" s="2"/>
      <c r="E607" s="2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2"/>
      <c r="C608" s="2"/>
      <c r="D608" s="2"/>
      <c r="E608" s="2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2"/>
      <c r="C609" s="2"/>
      <c r="D609" s="2"/>
      <c r="E609" s="2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2"/>
      <c r="C610" s="2"/>
      <c r="D610" s="2"/>
      <c r="E610" s="2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2"/>
      <c r="C611" s="2"/>
      <c r="D611" s="2"/>
      <c r="E611" s="2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2"/>
      <c r="C612" s="2"/>
      <c r="D612" s="2"/>
      <c r="E612" s="2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2"/>
      <c r="C613" s="2"/>
      <c r="D613" s="2"/>
      <c r="E613" s="2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2"/>
      <c r="C614" s="2"/>
      <c r="D614" s="2"/>
      <c r="E614" s="2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2"/>
      <c r="C615" s="2"/>
      <c r="D615" s="2"/>
      <c r="E615" s="2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2"/>
      <c r="C616" s="2"/>
      <c r="D616" s="2"/>
      <c r="E616" s="2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2"/>
      <c r="C617" s="2"/>
      <c r="D617" s="2"/>
      <c r="E617" s="2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2"/>
      <c r="C618" s="2"/>
      <c r="D618" s="2"/>
      <c r="E618" s="2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2"/>
      <c r="C619" s="2"/>
      <c r="D619" s="2"/>
      <c r="E619" s="2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2"/>
      <c r="C620" s="2"/>
      <c r="D620" s="2"/>
      <c r="E620" s="2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2"/>
      <c r="C621" s="2"/>
      <c r="D621" s="2"/>
      <c r="E621" s="2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2"/>
      <c r="C622" s="2"/>
      <c r="D622" s="2"/>
      <c r="E622" s="2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2"/>
      <c r="C623" s="2"/>
      <c r="D623" s="2"/>
      <c r="E623" s="2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2"/>
      <c r="C624" s="2"/>
      <c r="D624" s="2"/>
      <c r="E624" s="2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2"/>
      <c r="C625" s="2"/>
      <c r="D625" s="2"/>
      <c r="E625" s="2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2"/>
      <c r="C626" s="2"/>
      <c r="D626" s="2"/>
      <c r="E626" s="2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2"/>
      <c r="C627" s="2"/>
      <c r="D627" s="2"/>
      <c r="E627" s="2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2"/>
      <c r="C628" s="2"/>
      <c r="D628" s="2"/>
      <c r="E628" s="2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2"/>
      <c r="C629" s="2"/>
      <c r="D629" s="2"/>
      <c r="E629" s="2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2"/>
      <c r="C630" s="2"/>
      <c r="D630" s="2"/>
      <c r="E630" s="2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2"/>
      <c r="C631" s="2"/>
      <c r="D631" s="2"/>
      <c r="E631" s="2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2"/>
      <c r="C632" s="2"/>
      <c r="D632" s="2"/>
      <c r="E632" s="2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2"/>
      <c r="C633" s="2"/>
      <c r="D633" s="2"/>
      <c r="E633" s="2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2"/>
      <c r="C634" s="2"/>
      <c r="D634" s="2"/>
      <c r="E634" s="2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2"/>
      <c r="C635" s="2"/>
      <c r="D635" s="2"/>
      <c r="E635" s="2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2"/>
      <c r="C636" s="2"/>
      <c r="D636" s="2"/>
      <c r="E636" s="2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2"/>
      <c r="C637" s="2"/>
      <c r="D637" s="2"/>
      <c r="E637" s="2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2"/>
      <c r="C638" s="2"/>
      <c r="D638" s="2"/>
      <c r="E638" s="2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2"/>
      <c r="C639" s="2"/>
      <c r="D639" s="2"/>
      <c r="E639" s="2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2"/>
      <c r="C640" s="2"/>
      <c r="D640" s="2"/>
      <c r="E640" s="2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2"/>
      <c r="C641" s="2"/>
      <c r="D641" s="2"/>
      <c r="E641" s="2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2"/>
      <c r="C642" s="2"/>
      <c r="D642" s="2"/>
      <c r="E642" s="2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2"/>
      <c r="C643" s="2"/>
      <c r="D643" s="2"/>
      <c r="E643" s="2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2"/>
      <c r="C644" s="2"/>
      <c r="D644" s="2"/>
      <c r="E644" s="2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2"/>
      <c r="C645" s="2"/>
      <c r="D645" s="2"/>
      <c r="E645" s="2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2"/>
      <c r="C646" s="2"/>
      <c r="D646" s="2"/>
      <c r="E646" s="2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2"/>
      <c r="C647" s="2"/>
      <c r="D647" s="2"/>
      <c r="E647" s="2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2"/>
      <c r="C648" s="2"/>
      <c r="D648" s="2"/>
      <c r="E648" s="2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2"/>
      <c r="C649" s="2"/>
      <c r="D649" s="2"/>
      <c r="E649" s="2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2"/>
      <c r="C650" s="2"/>
      <c r="D650" s="2"/>
      <c r="E650" s="2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2"/>
      <c r="C651" s="2"/>
      <c r="D651" s="2"/>
      <c r="E651" s="2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2"/>
      <c r="C652" s="2"/>
      <c r="D652" s="2"/>
      <c r="E652" s="2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2"/>
      <c r="C653" s="2"/>
      <c r="D653" s="2"/>
      <c r="E653" s="2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2"/>
      <c r="C654" s="2"/>
      <c r="D654" s="2"/>
      <c r="E654" s="2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2"/>
      <c r="C655" s="2"/>
      <c r="D655" s="2"/>
      <c r="E655" s="2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2"/>
      <c r="C656" s="2"/>
      <c r="D656" s="2"/>
      <c r="E656" s="2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2"/>
      <c r="C657" s="2"/>
      <c r="D657" s="2"/>
      <c r="E657" s="2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2"/>
      <c r="C658" s="2"/>
      <c r="D658" s="2"/>
      <c r="E658" s="2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2"/>
      <c r="C659" s="2"/>
      <c r="D659" s="2"/>
      <c r="E659" s="2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2"/>
      <c r="C660" s="2"/>
      <c r="D660" s="2"/>
      <c r="E660" s="2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2"/>
      <c r="C661" s="2"/>
      <c r="D661" s="2"/>
      <c r="E661" s="2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2"/>
      <c r="C662" s="2"/>
      <c r="D662" s="2"/>
      <c r="E662" s="2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2"/>
      <c r="C663" s="2"/>
      <c r="D663" s="2"/>
      <c r="E663" s="2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2"/>
      <c r="C664" s="2"/>
      <c r="D664" s="2"/>
      <c r="E664" s="2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2"/>
      <c r="C665" s="2"/>
      <c r="D665" s="2"/>
      <c r="E665" s="2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2"/>
      <c r="C666" s="2"/>
      <c r="D666" s="2"/>
      <c r="E666" s="2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2"/>
      <c r="C667" s="2"/>
      <c r="D667" s="2"/>
      <c r="E667" s="2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2"/>
      <c r="C668" s="2"/>
      <c r="D668" s="2"/>
      <c r="E668" s="2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2"/>
      <c r="C669" s="2"/>
      <c r="D669" s="2"/>
      <c r="E669" s="2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2"/>
      <c r="C670" s="2"/>
      <c r="D670" s="2"/>
      <c r="E670" s="2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2"/>
      <c r="C671" s="2"/>
      <c r="D671" s="2"/>
      <c r="E671" s="2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2"/>
      <c r="C672" s="2"/>
      <c r="D672" s="2"/>
      <c r="E672" s="2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2"/>
      <c r="C673" s="2"/>
      <c r="D673" s="2"/>
      <c r="E673" s="2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2"/>
      <c r="C674" s="2"/>
      <c r="D674" s="2"/>
      <c r="E674" s="2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2"/>
      <c r="C675" s="2"/>
      <c r="D675" s="2"/>
      <c r="E675" s="2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2"/>
      <c r="C676" s="2"/>
      <c r="D676" s="2"/>
      <c r="E676" s="2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2"/>
      <c r="C677" s="2"/>
      <c r="D677" s="2"/>
      <c r="E677" s="2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2"/>
      <c r="C678" s="2"/>
      <c r="D678" s="2"/>
      <c r="E678" s="2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2"/>
      <c r="C679" s="2"/>
      <c r="D679" s="2"/>
      <c r="E679" s="2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2"/>
      <c r="C680" s="2"/>
      <c r="D680" s="2"/>
      <c r="E680" s="2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2"/>
      <c r="C681" s="2"/>
      <c r="D681" s="2"/>
      <c r="E681" s="2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2"/>
      <c r="C682" s="2"/>
      <c r="D682" s="2"/>
      <c r="E682" s="2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2"/>
      <c r="C683" s="2"/>
      <c r="D683" s="2"/>
      <c r="E683" s="2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2"/>
      <c r="C684" s="2"/>
      <c r="D684" s="2"/>
      <c r="E684" s="2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2"/>
      <c r="C685" s="2"/>
      <c r="D685" s="2"/>
      <c r="E685" s="2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2"/>
      <c r="C686" s="2"/>
      <c r="D686" s="2"/>
      <c r="E686" s="2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2"/>
      <c r="C687" s="2"/>
      <c r="D687" s="2"/>
      <c r="E687" s="2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2"/>
      <c r="C688" s="2"/>
      <c r="D688" s="2"/>
      <c r="E688" s="2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2"/>
      <c r="C689" s="2"/>
      <c r="D689" s="2"/>
      <c r="E689" s="2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2"/>
      <c r="C690" s="2"/>
      <c r="D690" s="2"/>
      <c r="E690" s="2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2"/>
      <c r="C691" s="2"/>
      <c r="D691" s="2"/>
      <c r="E691" s="2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2"/>
      <c r="C692" s="2"/>
      <c r="D692" s="2"/>
      <c r="E692" s="2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2"/>
      <c r="C693" s="2"/>
      <c r="D693" s="2"/>
      <c r="E693" s="2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2"/>
      <c r="C694" s="2"/>
      <c r="D694" s="2"/>
      <c r="E694" s="2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2"/>
      <c r="C695" s="2"/>
      <c r="D695" s="2"/>
      <c r="E695" s="2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2"/>
      <c r="C696" s="2"/>
      <c r="D696" s="2"/>
      <c r="E696" s="2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2"/>
      <c r="C697" s="2"/>
      <c r="D697" s="2"/>
      <c r="E697" s="2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2"/>
      <c r="C698" s="2"/>
      <c r="D698" s="2"/>
      <c r="E698" s="2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2"/>
      <c r="C699" s="2"/>
      <c r="D699" s="2"/>
      <c r="E699" s="2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2"/>
      <c r="C700" s="2"/>
      <c r="D700" s="2"/>
      <c r="E700" s="2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2"/>
      <c r="C701" s="2"/>
      <c r="D701" s="2"/>
      <c r="E701" s="2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2"/>
      <c r="C702" s="2"/>
      <c r="D702" s="2"/>
      <c r="E702" s="2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2"/>
      <c r="C703" s="2"/>
      <c r="D703" s="2"/>
      <c r="E703" s="2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2"/>
      <c r="C704" s="2"/>
      <c r="D704" s="2"/>
      <c r="E704" s="2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2"/>
      <c r="C705" s="2"/>
      <c r="D705" s="2"/>
      <c r="E705" s="2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2"/>
      <c r="C706" s="2"/>
      <c r="D706" s="2"/>
      <c r="E706" s="2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2"/>
      <c r="C707" s="2"/>
      <c r="D707" s="2"/>
      <c r="E707" s="2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2"/>
      <c r="C708" s="2"/>
      <c r="D708" s="2"/>
      <c r="E708" s="2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2"/>
      <c r="C709" s="2"/>
      <c r="D709" s="2"/>
      <c r="E709" s="2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2"/>
      <c r="C710" s="2"/>
      <c r="D710" s="2"/>
      <c r="E710" s="2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2"/>
      <c r="C711" s="2"/>
      <c r="D711" s="2"/>
      <c r="E711" s="2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2"/>
      <c r="C712" s="2"/>
      <c r="D712" s="2"/>
      <c r="E712" s="2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2"/>
      <c r="C713" s="2"/>
      <c r="D713" s="2"/>
      <c r="E713" s="2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2"/>
      <c r="C714" s="2"/>
      <c r="D714" s="2"/>
      <c r="E714" s="2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2"/>
      <c r="C715" s="2"/>
      <c r="D715" s="2"/>
      <c r="E715" s="2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2"/>
      <c r="C716" s="2"/>
      <c r="D716" s="2"/>
      <c r="E716" s="2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2"/>
      <c r="C717" s="2"/>
      <c r="D717" s="2"/>
      <c r="E717" s="2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2"/>
      <c r="C718" s="2"/>
      <c r="D718" s="2"/>
      <c r="E718" s="2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2"/>
      <c r="C719" s="2"/>
      <c r="D719" s="2"/>
      <c r="E719" s="2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2"/>
      <c r="C720" s="2"/>
      <c r="D720" s="2"/>
      <c r="E720" s="2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2"/>
      <c r="C721" s="2"/>
      <c r="D721" s="2"/>
      <c r="E721" s="2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2"/>
      <c r="C722" s="2"/>
      <c r="D722" s="2"/>
      <c r="E722" s="2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2"/>
      <c r="C723" s="2"/>
      <c r="D723" s="2"/>
      <c r="E723" s="2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2"/>
      <c r="C724" s="2"/>
      <c r="D724" s="2"/>
      <c r="E724" s="2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2"/>
      <c r="C725" s="2"/>
      <c r="D725" s="2"/>
      <c r="E725" s="2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2"/>
      <c r="C726" s="2"/>
      <c r="D726" s="2"/>
      <c r="E726" s="2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2"/>
      <c r="C727" s="2"/>
      <c r="D727" s="2"/>
      <c r="E727" s="2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2"/>
      <c r="C728" s="2"/>
      <c r="D728" s="2"/>
      <c r="E728" s="2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2"/>
      <c r="C729" s="2"/>
      <c r="D729" s="2"/>
      <c r="E729" s="2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2"/>
      <c r="C730" s="2"/>
      <c r="D730" s="2"/>
      <c r="E730" s="2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2"/>
      <c r="C731" s="2"/>
      <c r="D731" s="2"/>
      <c r="E731" s="2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2"/>
      <c r="C732" s="2"/>
      <c r="D732" s="2"/>
      <c r="E732" s="2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2"/>
      <c r="C733" s="2"/>
      <c r="D733" s="2"/>
      <c r="E733" s="2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2"/>
      <c r="C734" s="2"/>
      <c r="D734" s="2"/>
      <c r="E734" s="2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2"/>
      <c r="C735" s="2"/>
      <c r="D735" s="2"/>
      <c r="E735" s="2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2"/>
      <c r="C736" s="2"/>
      <c r="D736" s="2"/>
      <c r="E736" s="2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2"/>
      <c r="C737" s="2"/>
      <c r="D737" s="2"/>
      <c r="E737" s="2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2"/>
      <c r="C738" s="2"/>
      <c r="D738" s="2"/>
      <c r="E738" s="2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2"/>
      <c r="C739" s="2"/>
      <c r="D739" s="2"/>
      <c r="E739" s="2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2"/>
      <c r="C740" s="2"/>
      <c r="D740" s="2"/>
      <c r="E740" s="2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2"/>
      <c r="C741" s="2"/>
      <c r="D741" s="2"/>
      <c r="E741" s="2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2"/>
      <c r="C742" s="2"/>
      <c r="D742" s="2"/>
      <c r="E742" s="2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2"/>
      <c r="C743" s="2"/>
      <c r="D743" s="2"/>
      <c r="E743" s="2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2"/>
      <c r="C744" s="2"/>
      <c r="D744" s="2"/>
      <c r="E744" s="2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2"/>
      <c r="C745" s="2"/>
      <c r="D745" s="2"/>
      <c r="E745" s="2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2"/>
      <c r="C746" s="2"/>
      <c r="D746" s="2"/>
      <c r="E746" s="2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2"/>
      <c r="C747" s="2"/>
      <c r="D747" s="2"/>
      <c r="E747" s="2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2"/>
      <c r="C748" s="2"/>
      <c r="D748" s="2"/>
      <c r="E748" s="2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2"/>
      <c r="C749" s="2"/>
      <c r="D749" s="2"/>
      <c r="E749" s="2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2"/>
      <c r="C750" s="2"/>
      <c r="D750" s="2"/>
      <c r="E750" s="2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2"/>
      <c r="C751" s="2"/>
      <c r="D751" s="2"/>
      <c r="E751" s="2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2"/>
      <c r="C752" s="2"/>
      <c r="D752" s="2"/>
      <c r="E752" s="2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2"/>
      <c r="C753" s="2"/>
      <c r="D753" s="2"/>
      <c r="E753" s="2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2"/>
      <c r="C754" s="2"/>
      <c r="D754" s="2"/>
      <c r="E754" s="2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2"/>
      <c r="C755" s="2"/>
      <c r="D755" s="2"/>
      <c r="E755" s="2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2"/>
      <c r="C756" s="2"/>
      <c r="D756" s="2"/>
      <c r="E756" s="2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2"/>
      <c r="C757" s="2"/>
      <c r="D757" s="2"/>
      <c r="E757" s="2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2"/>
      <c r="C758" s="2"/>
      <c r="D758" s="2"/>
      <c r="E758" s="2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2"/>
      <c r="C759" s="2"/>
      <c r="D759" s="2"/>
      <c r="E759" s="2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2"/>
      <c r="C760" s="2"/>
      <c r="D760" s="2"/>
      <c r="E760" s="2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2"/>
      <c r="C761" s="2"/>
      <c r="D761" s="2"/>
      <c r="E761" s="2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2"/>
      <c r="C762" s="2"/>
      <c r="D762" s="2"/>
      <c r="E762" s="2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2"/>
      <c r="C763" s="2"/>
      <c r="D763" s="2"/>
      <c r="E763" s="2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2"/>
      <c r="C764" s="2"/>
      <c r="D764" s="2"/>
      <c r="E764" s="2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2"/>
      <c r="C765" s="2"/>
      <c r="D765" s="2"/>
      <c r="E765" s="2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2"/>
      <c r="C766" s="2"/>
      <c r="D766" s="2"/>
      <c r="E766" s="2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2"/>
      <c r="C767" s="2"/>
      <c r="D767" s="2"/>
      <c r="E767" s="2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2"/>
      <c r="C768" s="2"/>
      <c r="D768" s="2"/>
      <c r="E768" s="2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2"/>
      <c r="C769" s="2"/>
      <c r="D769" s="2"/>
      <c r="E769" s="2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2"/>
      <c r="C770" s="2"/>
      <c r="D770" s="2"/>
      <c r="E770" s="2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2"/>
      <c r="C771" s="2"/>
      <c r="D771" s="2"/>
      <c r="E771" s="2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2"/>
      <c r="C772" s="2"/>
      <c r="D772" s="2"/>
      <c r="E772" s="2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2"/>
      <c r="C773" s="2"/>
      <c r="D773" s="2"/>
      <c r="E773" s="2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2"/>
      <c r="C774" s="2"/>
      <c r="D774" s="2"/>
      <c r="E774" s="2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2"/>
      <c r="C775" s="2"/>
      <c r="D775" s="2"/>
      <c r="E775" s="2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2"/>
      <c r="C776" s="2"/>
      <c r="D776" s="2"/>
      <c r="E776" s="2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2"/>
      <c r="C777" s="2"/>
      <c r="D777" s="2"/>
      <c r="E777" s="2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2"/>
      <c r="C778" s="2"/>
      <c r="D778" s="2"/>
      <c r="E778" s="2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2"/>
      <c r="C779" s="2"/>
      <c r="D779" s="2"/>
      <c r="E779" s="2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2"/>
      <c r="C780" s="2"/>
      <c r="D780" s="2"/>
      <c r="E780" s="2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2"/>
      <c r="C781" s="2"/>
      <c r="D781" s="2"/>
      <c r="E781" s="2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2"/>
      <c r="C782" s="2"/>
      <c r="D782" s="2"/>
      <c r="E782" s="2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2"/>
      <c r="C783" s="2"/>
      <c r="D783" s="2"/>
      <c r="E783" s="2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2"/>
      <c r="C784" s="2"/>
      <c r="D784" s="2"/>
      <c r="E784" s="2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2"/>
      <c r="C785" s="2"/>
      <c r="D785" s="2"/>
      <c r="E785" s="2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2"/>
      <c r="C786" s="2"/>
      <c r="D786" s="2"/>
      <c r="E786" s="2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2"/>
      <c r="C787" s="2"/>
      <c r="D787" s="2"/>
      <c r="E787" s="2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2"/>
      <c r="C788" s="2"/>
      <c r="D788" s="2"/>
      <c r="E788" s="2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2"/>
      <c r="C789" s="2"/>
      <c r="D789" s="2"/>
      <c r="E789" s="2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2"/>
      <c r="C790" s="2"/>
      <c r="D790" s="2"/>
      <c r="E790" s="2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2"/>
      <c r="C791" s="2"/>
      <c r="D791" s="2"/>
      <c r="E791" s="2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2"/>
      <c r="C792" s="2"/>
      <c r="D792" s="2"/>
      <c r="E792" s="2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2"/>
      <c r="C793" s="2"/>
      <c r="D793" s="2"/>
      <c r="E793" s="2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2"/>
      <c r="C794" s="2"/>
      <c r="D794" s="2"/>
      <c r="E794" s="2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2"/>
      <c r="C795" s="2"/>
      <c r="D795" s="2"/>
      <c r="E795" s="2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2"/>
      <c r="C796" s="2"/>
      <c r="D796" s="2"/>
      <c r="E796" s="2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2"/>
      <c r="C797" s="2"/>
      <c r="D797" s="2"/>
      <c r="E797" s="2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2"/>
      <c r="C798" s="2"/>
      <c r="D798" s="2"/>
      <c r="E798" s="2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2"/>
      <c r="C799" s="2"/>
      <c r="D799" s="2"/>
      <c r="E799" s="2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2"/>
      <c r="C800" s="2"/>
      <c r="D800" s="2"/>
      <c r="E800" s="2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2"/>
      <c r="C801" s="2"/>
      <c r="D801" s="2"/>
      <c r="E801" s="2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2"/>
      <c r="C802" s="2"/>
      <c r="D802" s="2"/>
      <c r="E802" s="2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2"/>
      <c r="C803" s="2"/>
      <c r="D803" s="2"/>
      <c r="E803" s="2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2"/>
      <c r="C804" s="2"/>
      <c r="D804" s="2"/>
      <c r="E804" s="2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2"/>
      <c r="C805" s="2"/>
      <c r="D805" s="2"/>
      <c r="E805" s="2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2"/>
      <c r="C806" s="2"/>
      <c r="D806" s="2"/>
      <c r="E806" s="2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2"/>
      <c r="C807" s="2"/>
      <c r="D807" s="2"/>
      <c r="E807" s="2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2"/>
      <c r="C808" s="2"/>
      <c r="D808" s="2"/>
      <c r="E808" s="2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2"/>
      <c r="C809" s="2"/>
      <c r="D809" s="2"/>
      <c r="E809" s="2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2"/>
      <c r="C810" s="2"/>
      <c r="D810" s="2"/>
      <c r="E810" s="2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2"/>
      <c r="C811" s="2"/>
      <c r="D811" s="2"/>
      <c r="E811" s="2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2"/>
      <c r="C812" s="2"/>
      <c r="D812" s="2"/>
      <c r="E812" s="2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2"/>
      <c r="C813" s="2"/>
      <c r="D813" s="2"/>
      <c r="E813" s="2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2"/>
      <c r="C814" s="2"/>
      <c r="D814" s="2"/>
      <c r="E814" s="2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2"/>
      <c r="C815" s="2"/>
      <c r="D815" s="2"/>
      <c r="E815" s="2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2"/>
      <c r="C816" s="2"/>
      <c r="D816" s="2"/>
      <c r="E816" s="2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2"/>
      <c r="C817" s="2"/>
      <c r="D817" s="2"/>
      <c r="E817" s="2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2"/>
      <c r="C818" s="2"/>
      <c r="D818" s="2"/>
      <c r="E818" s="2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2"/>
      <c r="C819" s="2"/>
      <c r="D819" s="2"/>
      <c r="E819" s="2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2"/>
      <c r="C820" s="2"/>
      <c r="D820" s="2"/>
      <c r="E820" s="2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2"/>
      <c r="C821" s="2"/>
      <c r="D821" s="2"/>
      <c r="E821" s="2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2"/>
      <c r="C822" s="2"/>
      <c r="D822" s="2"/>
      <c r="E822" s="2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2"/>
      <c r="C823" s="2"/>
      <c r="D823" s="2"/>
      <c r="E823" s="2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2"/>
      <c r="C824" s="2"/>
      <c r="D824" s="2"/>
      <c r="E824" s="2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2"/>
      <c r="C825" s="2"/>
      <c r="D825" s="2"/>
      <c r="E825" s="2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2"/>
      <c r="C826" s="2"/>
      <c r="D826" s="2"/>
      <c r="E826" s="2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2"/>
      <c r="C827" s="2"/>
      <c r="D827" s="2"/>
      <c r="E827" s="2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2"/>
      <c r="C828" s="2"/>
      <c r="D828" s="2"/>
      <c r="E828" s="2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2"/>
      <c r="C829" s="2"/>
      <c r="D829" s="2"/>
      <c r="E829" s="2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2"/>
      <c r="C830" s="2"/>
      <c r="D830" s="2"/>
      <c r="E830" s="2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2"/>
      <c r="C831" s="2"/>
      <c r="D831" s="2"/>
      <c r="E831" s="2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2"/>
      <c r="C832" s="2"/>
      <c r="D832" s="2"/>
      <c r="E832" s="2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2"/>
      <c r="C833" s="2"/>
      <c r="D833" s="2"/>
      <c r="E833" s="2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2"/>
      <c r="C834" s="2"/>
      <c r="D834" s="2"/>
      <c r="E834" s="2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2"/>
      <c r="C835" s="2"/>
      <c r="D835" s="2"/>
      <c r="E835" s="2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2"/>
      <c r="C836" s="2"/>
      <c r="D836" s="2"/>
      <c r="E836" s="2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2"/>
      <c r="C837" s="2"/>
      <c r="D837" s="2"/>
      <c r="E837" s="2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2"/>
      <c r="C838" s="2"/>
      <c r="D838" s="2"/>
      <c r="E838" s="2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2"/>
      <c r="C839" s="2"/>
      <c r="D839" s="2"/>
      <c r="E839" s="2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2"/>
      <c r="C840" s="2"/>
      <c r="D840" s="2"/>
      <c r="E840" s="2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2"/>
      <c r="C841" s="2"/>
      <c r="D841" s="2"/>
      <c r="E841" s="2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2"/>
      <c r="C842" s="2"/>
      <c r="D842" s="2"/>
      <c r="E842" s="2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2"/>
      <c r="C843" s="2"/>
      <c r="D843" s="2"/>
      <c r="E843" s="2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2"/>
      <c r="C844" s="2"/>
      <c r="D844" s="2"/>
      <c r="E844" s="2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2"/>
      <c r="C845" s="2"/>
      <c r="D845" s="2"/>
      <c r="E845" s="2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2"/>
      <c r="C846" s="2"/>
      <c r="D846" s="2"/>
      <c r="E846" s="2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2"/>
      <c r="C847" s="2"/>
      <c r="D847" s="2"/>
      <c r="E847" s="2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2"/>
      <c r="C848" s="2"/>
      <c r="D848" s="2"/>
      <c r="E848" s="2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2"/>
      <c r="C849" s="2"/>
      <c r="D849" s="2"/>
      <c r="E849" s="2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2"/>
      <c r="C850" s="2"/>
      <c r="D850" s="2"/>
      <c r="E850" s="2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2"/>
      <c r="C851" s="2"/>
      <c r="D851" s="2"/>
      <c r="E851" s="2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2"/>
      <c r="C852" s="2"/>
      <c r="D852" s="2"/>
      <c r="E852" s="2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2"/>
      <c r="C853" s="2"/>
      <c r="D853" s="2"/>
      <c r="E853" s="2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2"/>
      <c r="C854" s="2"/>
      <c r="D854" s="2"/>
      <c r="E854" s="2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2"/>
      <c r="C855" s="2"/>
      <c r="D855" s="2"/>
      <c r="E855" s="2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2"/>
      <c r="C856" s="2"/>
      <c r="D856" s="2"/>
      <c r="E856" s="2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2"/>
      <c r="C857" s="2"/>
      <c r="D857" s="2"/>
      <c r="E857" s="2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2"/>
      <c r="C858" s="2"/>
      <c r="D858" s="2"/>
      <c r="E858" s="2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2"/>
      <c r="C859" s="2"/>
      <c r="D859" s="2"/>
      <c r="E859" s="2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2"/>
      <c r="C860" s="2"/>
      <c r="D860" s="2"/>
      <c r="E860" s="2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2"/>
      <c r="C861" s="2"/>
      <c r="D861" s="2"/>
      <c r="E861" s="2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2"/>
      <c r="C862" s="2"/>
      <c r="D862" s="2"/>
      <c r="E862" s="2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2"/>
      <c r="C863" s="2"/>
      <c r="D863" s="2"/>
      <c r="E863" s="2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2"/>
      <c r="C864" s="2"/>
      <c r="D864" s="2"/>
      <c r="E864" s="2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2"/>
      <c r="C865" s="2"/>
      <c r="D865" s="2"/>
      <c r="E865" s="2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2"/>
      <c r="C866" s="2"/>
      <c r="D866" s="2"/>
      <c r="E866" s="2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2"/>
      <c r="C867" s="2"/>
      <c r="D867" s="2"/>
      <c r="E867" s="2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2"/>
      <c r="C868" s="2"/>
      <c r="D868" s="2"/>
      <c r="E868" s="2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2"/>
      <c r="C869" s="2"/>
      <c r="D869" s="2"/>
      <c r="E869" s="2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2"/>
      <c r="C870" s="2"/>
      <c r="D870" s="2"/>
      <c r="E870" s="2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2"/>
      <c r="C871" s="2"/>
      <c r="D871" s="2"/>
      <c r="E871" s="2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2"/>
      <c r="C872" s="2"/>
      <c r="D872" s="2"/>
      <c r="E872" s="2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2"/>
      <c r="C873" s="2"/>
      <c r="D873" s="2"/>
      <c r="E873" s="2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2"/>
      <c r="C874" s="2"/>
      <c r="D874" s="2"/>
      <c r="E874" s="2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2"/>
      <c r="C875" s="2"/>
      <c r="D875" s="2"/>
      <c r="E875" s="2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2"/>
      <c r="C876" s="2"/>
      <c r="D876" s="2"/>
      <c r="E876" s="2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2"/>
      <c r="C877" s="2"/>
      <c r="D877" s="2"/>
      <c r="E877" s="2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2"/>
      <c r="C878" s="2"/>
      <c r="D878" s="2"/>
      <c r="E878" s="2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2"/>
      <c r="C879" s="2"/>
      <c r="D879" s="2"/>
      <c r="E879" s="2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2"/>
      <c r="C880" s="2"/>
      <c r="D880" s="2"/>
      <c r="E880" s="2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2"/>
      <c r="C881" s="2"/>
      <c r="D881" s="2"/>
      <c r="E881" s="2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2"/>
      <c r="C882" s="2"/>
      <c r="D882" s="2"/>
      <c r="E882" s="2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2"/>
      <c r="C883" s="2"/>
      <c r="D883" s="2"/>
      <c r="E883" s="2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2"/>
      <c r="C884" s="2"/>
      <c r="D884" s="2"/>
      <c r="E884" s="2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2"/>
      <c r="C885" s="2"/>
      <c r="D885" s="2"/>
      <c r="E885" s="2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2"/>
      <c r="C886" s="2"/>
      <c r="D886" s="2"/>
      <c r="E886" s="2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2"/>
      <c r="C887" s="2"/>
      <c r="D887" s="2"/>
      <c r="E887" s="2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2"/>
      <c r="C888" s="2"/>
      <c r="D888" s="2"/>
      <c r="E888" s="2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2"/>
      <c r="C889" s="2"/>
      <c r="D889" s="2"/>
      <c r="E889" s="2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2"/>
      <c r="C890" s="2"/>
      <c r="D890" s="2"/>
      <c r="E890" s="2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2"/>
      <c r="C891" s="2"/>
      <c r="D891" s="2"/>
      <c r="E891" s="2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2"/>
      <c r="C892" s="2"/>
      <c r="D892" s="2"/>
      <c r="E892" s="2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2"/>
      <c r="C893" s="2"/>
      <c r="D893" s="2"/>
      <c r="E893" s="2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2"/>
      <c r="C894" s="2"/>
      <c r="D894" s="2"/>
      <c r="E894" s="2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2"/>
      <c r="C895" s="2"/>
      <c r="D895" s="2"/>
      <c r="E895" s="2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2"/>
      <c r="C896" s="2"/>
      <c r="D896" s="2"/>
      <c r="E896" s="2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2"/>
      <c r="C897" s="2"/>
      <c r="D897" s="2"/>
      <c r="E897" s="2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2"/>
      <c r="C898" s="2"/>
      <c r="D898" s="2"/>
      <c r="E898" s="2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2"/>
      <c r="C899" s="2"/>
      <c r="D899" s="2"/>
      <c r="E899" s="2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2"/>
      <c r="C900" s="2"/>
      <c r="D900" s="2"/>
      <c r="E900" s="2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2"/>
      <c r="C901" s="2"/>
      <c r="D901" s="2"/>
      <c r="E901" s="2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2"/>
      <c r="C902" s="2"/>
      <c r="D902" s="2"/>
      <c r="E902" s="2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2"/>
      <c r="C903" s="2"/>
      <c r="D903" s="2"/>
      <c r="E903" s="2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2"/>
      <c r="C904" s="2"/>
      <c r="D904" s="2"/>
      <c r="E904" s="2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2"/>
      <c r="C905" s="2"/>
      <c r="D905" s="2"/>
      <c r="E905" s="2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2"/>
      <c r="C906" s="2"/>
      <c r="D906" s="2"/>
      <c r="E906" s="2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2"/>
      <c r="C907" s="2"/>
      <c r="D907" s="2"/>
      <c r="E907" s="2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2"/>
      <c r="C908" s="2"/>
      <c r="D908" s="2"/>
      <c r="E908" s="2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2"/>
      <c r="C909" s="2"/>
      <c r="D909" s="2"/>
      <c r="E909" s="2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2"/>
      <c r="C910" s="2"/>
      <c r="D910" s="2"/>
      <c r="E910" s="2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2"/>
      <c r="C911" s="2"/>
      <c r="D911" s="2"/>
      <c r="E911" s="2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2"/>
      <c r="C912" s="2"/>
      <c r="D912" s="2"/>
      <c r="E912" s="2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2"/>
      <c r="C913" s="2"/>
      <c r="D913" s="2"/>
      <c r="E913" s="2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2"/>
      <c r="C914" s="2"/>
      <c r="D914" s="2"/>
      <c r="E914" s="2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2"/>
      <c r="C915" s="2"/>
      <c r="D915" s="2"/>
      <c r="E915" s="2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2"/>
      <c r="C916" s="2"/>
      <c r="D916" s="2"/>
      <c r="E916" s="2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2"/>
      <c r="C917" s="2"/>
      <c r="D917" s="2"/>
      <c r="E917" s="2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2"/>
      <c r="C918" s="2"/>
      <c r="D918" s="2"/>
      <c r="E918" s="2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2"/>
      <c r="C919" s="2"/>
      <c r="D919" s="2"/>
      <c r="E919" s="2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2"/>
      <c r="C920" s="2"/>
      <c r="D920" s="2"/>
      <c r="E920" s="2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2"/>
      <c r="C921" s="2"/>
      <c r="D921" s="2"/>
      <c r="E921" s="2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2"/>
      <c r="C922" s="2"/>
      <c r="D922" s="2"/>
      <c r="E922" s="2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2"/>
      <c r="C923" s="2"/>
      <c r="D923" s="2"/>
      <c r="E923" s="2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2"/>
      <c r="C924" s="2"/>
      <c r="D924" s="2"/>
      <c r="E924" s="2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2"/>
      <c r="C925" s="2"/>
      <c r="D925" s="2"/>
      <c r="E925" s="2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2"/>
      <c r="C926" s="2"/>
      <c r="D926" s="2"/>
      <c r="E926" s="2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2"/>
      <c r="C927" s="2"/>
      <c r="D927" s="2"/>
      <c r="E927" s="2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2"/>
      <c r="C928" s="2"/>
      <c r="D928" s="2"/>
      <c r="E928" s="2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2"/>
      <c r="C929" s="2"/>
      <c r="D929" s="2"/>
      <c r="E929" s="2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2"/>
      <c r="C930" s="2"/>
      <c r="D930" s="2"/>
      <c r="E930" s="2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2"/>
      <c r="C931" s="2"/>
      <c r="D931" s="2"/>
      <c r="E931" s="2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2"/>
      <c r="C932" s="2"/>
      <c r="D932" s="2"/>
      <c r="E932" s="2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2"/>
      <c r="C933" s="2"/>
      <c r="D933" s="2"/>
      <c r="E933" s="2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2"/>
      <c r="C934" s="2"/>
      <c r="D934" s="2"/>
      <c r="E934" s="2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2"/>
      <c r="C935" s="2"/>
      <c r="D935" s="2"/>
      <c r="E935" s="2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2"/>
      <c r="C936" s="2"/>
      <c r="D936" s="2"/>
      <c r="E936" s="2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2"/>
      <c r="C937" s="2"/>
      <c r="D937" s="2"/>
      <c r="E937" s="2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2"/>
      <c r="C938" s="2"/>
      <c r="D938" s="2"/>
      <c r="E938" s="2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2"/>
      <c r="C939" s="2"/>
      <c r="D939" s="2"/>
      <c r="E939" s="2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2"/>
      <c r="C940" s="2"/>
      <c r="D940" s="2"/>
      <c r="E940" s="2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2"/>
      <c r="C941" s="2"/>
      <c r="D941" s="2"/>
      <c r="E941" s="2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2"/>
      <c r="C942" s="2"/>
      <c r="D942" s="2"/>
      <c r="E942" s="2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2"/>
      <c r="C943" s="2"/>
      <c r="D943" s="2"/>
      <c r="E943" s="2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2"/>
      <c r="C944" s="2"/>
      <c r="D944" s="2"/>
      <c r="E944" s="2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2"/>
      <c r="C945" s="2"/>
      <c r="D945" s="2"/>
      <c r="E945" s="2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2"/>
      <c r="C946" s="2"/>
      <c r="D946" s="2"/>
      <c r="E946" s="2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2"/>
      <c r="C947" s="2"/>
      <c r="D947" s="2"/>
      <c r="E947" s="2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2"/>
      <c r="C948" s="2"/>
      <c r="D948" s="2"/>
      <c r="E948" s="2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2"/>
      <c r="C949" s="2"/>
      <c r="D949" s="2"/>
      <c r="E949" s="2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2"/>
      <c r="C950" s="2"/>
      <c r="D950" s="2"/>
      <c r="E950" s="2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2"/>
      <c r="C951" s="2"/>
      <c r="D951" s="2"/>
      <c r="E951" s="2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2"/>
      <c r="C952" s="2"/>
      <c r="D952" s="2"/>
      <c r="E952" s="2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2"/>
      <c r="C953" s="2"/>
      <c r="D953" s="2"/>
      <c r="E953" s="2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2"/>
      <c r="C954" s="2"/>
      <c r="D954" s="2"/>
      <c r="E954" s="2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2"/>
      <c r="C955" s="2"/>
      <c r="D955" s="2"/>
      <c r="E955" s="2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2"/>
      <c r="C956" s="2"/>
      <c r="D956" s="2"/>
      <c r="E956" s="2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2"/>
      <c r="C957" s="2"/>
      <c r="D957" s="2"/>
      <c r="E957" s="2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2"/>
      <c r="C958" s="2"/>
      <c r="D958" s="2"/>
      <c r="E958" s="2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2"/>
      <c r="C959" s="2"/>
      <c r="D959" s="2"/>
      <c r="E959" s="2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2"/>
      <c r="C960" s="2"/>
      <c r="D960" s="2"/>
      <c r="E960" s="2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2"/>
      <c r="C961" s="2"/>
      <c r="D961" s="2"/>
      <c r="E961" s="2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2"/>
      <c r="C962" s="2"/>
      <c r="D962" s="2"/>
      <c r="E962" s="2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2"/>
      <c r="C963" s="2"/>
      <c r="D963" s="2"/>
      <c r="E963" s="2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2"/>
      <c r="C964" s="2"/>
      <c r="D964" s="2"/>
      <c r="E964" s="2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2"/>
      <c r="C965" s="2"/>
      <c r="D965" s="2"/>
      <c r="E965" s="2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2"/>
      <c r="C966" s="2"/>
      <c r="D966" s="2"/>
      <c r="E966" s="2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2"/>
      <c r="C967" s="2"/>
      <c r="D967" s="2"/>
      <c r="E967" s="2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2"/>
      <c r="C968" s="2"/>
      <c r="D968" s="2"/>
      <c r="E968" s="2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2"/>
      <c r="C969" s="2"/>
      <c r="D969" s="2"/>
      <c r="E969" s="2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2"/>
      <c r="C970" s="2"/>
      <c r="D970" s="2"/>
      <c r="E970" s="2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2"/>
      <c r="C971" s="2"/>
      <c r="D971" s="2"/>
      <c r="E971" s="2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2"/>
      <c r="C972" s="2"/>
      <c r="D972" s="2"/>
      <c r="E972" s="2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2"/>
      <c r="C973" s="2"/>
      <c r="D973" s="2"/>
      <c r="E973" s="2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2"/>
      <c r="C974" s="2"/>
      <c r="D974" s="2"/>
      <c r="E974" s="2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2"/>
      <c r="C975" s="2"/>
      <c r="D975" s="2"/>
      <c r="E975" s="2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2"/>
      <c r="C976" s="2"/>
      <c r="D976" s="2"/>
      <c r="E976" s="2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2"/>
      <c r="C977" s="2"/>
      <c r="D977" s="2"/>
      <c r="E977" s="2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2"/>
      <c r="C978" s="2"/>
      <c r="D978" s="2"/>
      <c r="E978" s="2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2"/>
      <c r="C979" s="2"/>
      <c r="D979" s="2"/>
      <c r="E979" s="2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2"/>
      <c r="C980" s="2"/>
      <c r="D980" s="2"/>
      <c r="E980" s="2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2"/>
      <c r="C981" s="2"/>
      <c r="D981" s="2"/>
      <c r="E981" s="2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2"/>
      <c r="C982" s="2"/>
      <c r="D982" s="2"/>
      <c r="E982" s="2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2"/>
      <c r="C983" s="2"/>
      <c r="D983" s="2"/>
      <c r="E983" s="2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2"/>
      <c r="C984" s="2"/>
      <c r="D984" s="2"/>
      <c r="E984" s="2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2"/>
      <c r="C985" s="2"/>
      <c r="D985" s="2"/>
      <c r="E985" s="2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2"/>
      <c r="C986" s="2"/>
      <c r="D986" s="2"/>
      <c r="E986" s="2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2"/>
      <c r="C987" s="2"/>
      <c r="D987" s="2"/>
      <c r="E987" s="2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2"/>
      <c r="C988" s="2"/>
      <c r="D988" s="2"/>
      <c r="E988" s="2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2"/>
      <c r="C989" s="2"/>
      <c r="D989" s="2"/>
      <c r="E989" s="2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2"/>
      <c r="C990" s="2"/>
      <c r="D990" s="2"/>
      <c r="E990" s="2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2"/>
      <c r="C991" s="2"/>
      <c r="D991" s="2"/>
      <c r="E991" s="2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2"/>
      <c r="C992" s="2"/>
      <c r="D992" s="2"/>
      <c r="E992" s="2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2"/>
      <c r="C993" s="2"/>
      <c r="D993" s="2"/>
      <c r="E993" s="2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2"/>
      <c r="C994" s="2"/>
      <c r="D994" s="2"/>
      <c r="E994" s="2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2"/>
      <c r="C995" s="2"/>
      <c r="D995" s="2"/>
      <c r="E995" s="2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2"/>
      <c r="C996" s="2"/>
      <c r="D996" s="2"/>
      <c r="E996" s="2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2"/>
      <c r="C997" s="2"/>
      <c r="D997" s="2"/>
      <c r="E997" s="2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2"/>
      <c r="C998" s="2"/>
      <c r="D998" s="2"/>
      <c r="E998" s="2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2"/>
      <c r="C999" s="2"/>
      <c r="D999" s="2"/>
      <c r="E999" s="2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2"/>
      <c r="C1000" s="2"/>
      <c r="D1000" s="2"/>
      <c r="E1000" s="2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1">
    <mergeCell ref="L40:M40"/>
    <mergeCell ref="O40:P40"/>
    <mergeCell ref="A53:G53"/>
    <mergeCell ref="A56:B56"/>
    <mergeCell ref="D56:H56"/>
    <mergeCell ref="A57:H57"/>
    <mergeCell ref="A58:D58"/>
    <mergeCell ref="A59:G59"/>
    <mergeCell ref="A34:D34"/>
    <mergeCell ref="A35:D35"/>
    <mergeCell ref="D40:E40"/>
  </mergeCells>
  <dataValidations count="1">
    <dataValidation type="list" allowBlank="1" showInputMessage="1" showErrorMessage="1" prompt=" - " sqref="E34:E36">
      <formula1>$I$27:$I$28</formula1>
    </dataValidation>
  </dataValidation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 x14ac:dyDescent="0.2"/>
  <cols>
    <col min="1" max="1" width="21.42578125" customWidth="1"/>
    <col min="2" max="3" width="16.7109375" customWidth="1"/>
    <col min="13" max="13" width="13.7109375" customWidth="1"/>
    <col min="24" max="26" width="8" customWidth="1"/>
  </cols>
  <sheetData>
    <row r="1" spans="1:26" ht="18" customHeight="1" x14ac:dyDescent="0.25">
      <c r="A1" s="86" t="s">
        <v>67</v>
      </c>
      <c r="B1" s="87"/>
      <c r="C1" s="87"/>
      <c r="D1" s="87"/>
      <c r="E1" s="87"/>
      <c r="F1" s="88"/>
      <c r="G1" s="87"/>
      <c r="H1" s="87"/>
      <c r="I1" s="87"/>
      <c r="J1" s="8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 x14ac:dyDescent="0.25">
      <c r="A2" s="6" t="s">
        <v>2</v>
      </c>
      <c r="B2" s="7"/>
      <c r="C2" s="7"/>
      <c r="D2" s="7"/>
      <c r="E2" s="7"/>
      <c r="F2" s="38"/>
      <c r="G2" s="7"/>
      <c r="H2" s="7"/>
      <c r="I2" s="7"/>
      <c r="J2" s="8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25">
      <c r="A3" s="90" t="s">
        <v>68</v>
      </c>
      <c r="B3" s="7"/>
      <c r="C3" s="7"/>
      <c r="D3" s="7"/>
      <c r="E3" s="7"/>
      <c r="F3" s="7"/>
      <c r="G3" s="7"/>
      <c r="H3" s="7"/>
      <c r="I3" s="7"/>
      <c r="J3" s="8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A4" s="89"/>
      <c r="B4" s="7"/>
      <c r="C4" s="7"/>
      <c r="D4" s="7"/>
      <c r="E4" s="7"/>
      <c r="F4" s="7"/>
      <c r="G4" s="7"/>
      <c r="H4" s="7"/>
      <c r="I4" s="7"/>
      <c r="J4" s="8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">
      <c r="A5" s="89" t="s">
        <v>69</v>
      </c>
      <c r="B5" s="7"/>
      <c r="C5" s="7"/>
      <c r="D5" s="7"/>
      <c r="E5" s="7"/>
      <c r="F5" s="7"/>
      <c r="G5" s="7"/>
      <c r="H5" s="7"/>
      <c r="I5" s="7"/>
      <c r="J5" s="8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">
      <c r="A6" s="89" t="s">
        <v>70</v>
      </c>
      <c r="B6" s="7"/>
      <c r="C6" s="7"/>
      <c r="D6" s="7"/>
      <c r="E6" s="7"/>
      <c r="F6" s="7"/>
      <c r="G6" s="7"/>
      <c r="H6" s="7"/>
      <c r="I6" s="7"/>
      <c r="J6" s="8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">
      <c r="A7" s="89" t="s">
        <v>71</v>
      </c>
      <c r="B7" s="7"/>
      <c r="C7" s="7"/>
      <c r="D7" s="7"/>
      <c r="E7" s="7"/>
      <c r="F7" s="7"/>
      <c r="G7" s="7"/>
      <c r="H7" s="7"/>
      <c r="I7" s="7"/>
      <c r="J7" s="8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">
      <c r="A8" s="89" t="s">
        <v>72</v>
      </c>
      <c r="B8" s="7"/>
      <c r="C8" s="7"/>
      <c r="D8" s="7"/>
      <c r="E8" s="7"/>
      <c r="F8" s="7"/>
      <c r="G8" s="7"/>
      <c r="H8" s="7"/>
      <c r="I8" s="7"/>
      <c r="J8" s="8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">
      <c r="A9" s="89"/>
      <c r="B9" s="7"/>
      <c r="C9" s="7"/>
      <c r="D9" s="7"/>
      <c r="E9" s="7"/>
      <c r="F9" s="7"/>
      <c r="G9" s="7"/>
      <c r="H9" s="7"/>
      <c r="I9" s="7"/>
      <c r="J9" s="8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">
      <c r="A10" s="89" t="s">
        <v>73</v>
      </c>
      <c r="B10" s="7"/>
      <c r="C10" s="7"/>
      <c r="D10" s="7"/>
      <c r="E10" s="7"/>
      <c r="F10" s="7"/>
      <c r="G10" s="7"/>
      <c r="H10" s="7"/>
      <c r="I10" s="7"/>
      <c r="J10" s="8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">
      <c r="A11" s="89" t="s">
        <v>74</v>
      </c>
      <c r="B11" s="7"/>
      <c r="C11" s="7"/>
      <c r="D11" s="7"/>
      <c r="E11" s="7"/>
      <c r="F11" s="7"/>
      <c r="G11" s="7"/>
      <c r="H11" s="7"/>
      <c r="I11" s="7"/>
      <c r="J11" s="8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">
      <c r="A12" s="89" t="s">
        <v>75</v>
      </c>
      <c r="B12" s="7"/>
      <c r="C12" s="7"/>
      <c r="D12" s="7"/>
      <c r="E12" s="7"/>
      <c r="F12" s="7"/>
      <c r="G12" s="7"/>
      <c r="H12" s="7"/>
      <c r="I12" s="7"/>
      <c r="J12" s="8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">
      <c r="A13" s="89" t="s">
        <v>76</v>
      </c>
      <c r="B13" s="7"/>
      <c r="C13" s="7"/>
      <c r="D13" s="7"/>
      <c r="E13" s="7"/>
      <c r="F13" s="7"/>
      <c r="G13" s="7"/>
      <c r="H13" s="7"/>
      <c r="I13" s="7"/>
      <c r="J13" s="8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">
      <c r="A14" s="89"/>
      <c r="B14" s="7"/>
      <c r="C14" s="7"/>
      <c r="D14" s="7"/>
      <c r="E14" s="7"/>
      <c r="F14" s="7"/>
      <c r="G14" s="7"/>
      <c r="H14" s="7"/>
      <c r="I14" s="7"/>
      <c r="J14" s="8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25">
      <c r="A15" s="90" t="s">
        <v>77</v>
      </c>
      <c r="B15" s="7"/>
      <c r="C15" s="7"/>
      <c r="D15" s="7"/>
      <c r="E15" s="7"/>
      <c r="F15" s="7"/>
      <c r="G15" s="7"/>
      <c r="H15" s="7"/>
      <c r="I15" s="7"/>
      <c r="J15" s="8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 x14ac:dyDescent="0.25">
      <c r="A16" s="90"/>
      <c r="B16" s="7"/>
      <c r="C16" s="7"/>
      <c r="D16" s="7"/>
      <c r="E16" s="7"/>
      <c r="F16" s="7"/>
      <c r="G16" s="7"/>
      <c r="H16" s="7"/>
      <c r="I16" s="7"/>
      <c r="J16" s="8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">
      <c r="A17" s="89" t="s">
        <v>78</v>
      </c>
      <c r="B17" s="7"/>
      <c r="C17" s="7"/>
      <c r="D17" s="7"/>
      <c r="E17" s="7"/>
      <c r="F17" s="7"/>
      <c r="G17" s="7"/>
      <c r="H17" s="7"/>
      <c r="I17" s="7"/>
      <c r="J17" s="8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">
      <c r="A18" s="89"/>
      <c r="B18" s="7"/>
      <c r="C18" s="7"/>
      <c r="D18" s="7"/>
      <c r="E18" s="7"/>
      <c r="F18" s="7"/>
      <c r="G18" s="7"/>
      <c r="H18" s="7"/>
      <c r="I18" s="7"/>
      <c r="J18" s="8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">
      <c r="A19" s="89" t="s">
        <v>17</v>
      </c>
      <c r="B19" s="7" t="s">
        <v>79</v>
      </c>
      <c r="C19" s="7"/>
      <c r="D19" s="7" t="s">
        <v>80</v>
      </c>
      <c r="E19" s="7"/>
      <c r="F19" s="7"/>
      <c r="G19" s="7"/>
      <c r="H19" s="7"/>
      <c r="I19" s="7"/>
      <c r="J19" s="8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>
      <c r="A20" s="89"/>
      <c r="B20" s="7"/>
      <c r="C20" s="7"/>
      <c r="D20" s="7"/>
      <c r="E20" s="7"/>
      <c r="F20" s="7"/>
      <c r="G20" s="7"/>
      <c r="H20" s="7"/>
      <c r="I20" s="7"/>
      <c r="J20" s="8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5">
      <c r="A21" s="89" t="s">
        <v>81</v>
      </c>
      <c r="B21" s="91">
        <v>7</v>
      </c>
      <c r="C21" s="66"/>
      <c r="D21" s="7" t="s">
        <v>82</v>
      </c>
      <c r="E21" s="7"/>
      <c r="F21" s="1"/>
      <c r="G21" s="7"/>
      <c r="H21" s="7"/>
      <c r="I21" s="7"/>
      <c r="J21" s="8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89" t="s">
        <v>18</v>
      </c>
      <c r="B22" s="92">
        <f>IF('Phase 2 CARBOB for PM Flat'!M43="ETOH vol% too low",'Phase 2 CARBOB for PM Flat'!M43,ROUND('Phase 2 CARBOB for PM Flat'!M43,0))</f>
        <v>80</v>
      </c>
      <c r="C22" s="66"/>
      <c r="D22" s="7" t="s">
        <v>53</v>
      </c>
      <c r="E22" s="7"/>
      <c r="F22" s="1" t="str">
        <f>IF(OR(B22&gt;220,B22&lt;0),"INVALID ENTRY SEE PROCEDURES"," ")</f>
        <v xml:space="preserve"> </v>
      </c>
      <c r="G22" s="7"/>
      <c r="H22" s="7"/>
      <c r="I22" s="7"/>
      <c r="J22" s="8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89" t="s">
        <v>20</v>
      </c>
      <c r="B23" s="92">
        <f>ROUND('Phase 2 CARBOB for PM Flat'!M44,0)</f>
        <v>-1</v>
      </c>
      <c r="C23" s="66"/>
      <c r="D23" s="7" t="s">
        <v>53</v>
      </c>
      <c r="E23" s="7"/>
      <c r="F23" s="1" t="str">
        <f>IF(OR(B23&gt;330,B23&lt;0),"INVALID ENTRY SEE PROCEDURES"," ")</f>
        <v>INVALID ENTRY SEE PROCEDURES</v>
      </c>
      <c r="G23" s="7"/>
      <c r="H23" s="7"/>
      <c r="I23" s="7"/>
      <c r="J23" s="8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25">
      <c r="A24" s="89" t="s">
        <v>21</v>
      </c>
      <c r="B24" s="93">
        <f>ROUND('Phase 2 CARBOB for PM Flat'!M45,1)</f>
        <v>0.1</v>
      </c>
      <c r="C24" s="66"/>
      <c r="D24" s="7" t="s">
        <v>83</v>
      </c>
      <c r="E24" s="7"/>
      <c r="F24" s="1" t="str">
        <f>IF(OR(B24&gt;30,B24&lt;0),"INVALID ENTRY SEE PROCEDURES"," ")</f>
        <v xml:space="preserve"> </v>
      </c>
      <c r="G24" s="7"/>
      <c r="H24" s="7"/>
      <c r="I24" s="7"/>
      <c r="J24" s="8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6.5" customHeight="1" x14ac:dyDescent="0.25">
      <c r="A25" s="89" t="s">
        <v>22</v>
      </c>
      <c r="B25" s="94">
        <f>ROUND('Phase 2 CARBOB for PM Flat'!M46,1)</f>
        <v>0</v>
      </c>
      <c r="C25" s="66"/>
      <c r="D25" s="7" t="s">
        <v>83</v>
      </c>
      <c r="E25" s="7"/>
      <c r="F25" s="1" t="str">
        <f>IF(OR(B25&gt;10,B25&lt;0),"INVALID ENTRY SEE PROCEDURES"," ")</f>
        <v xml:space="preserve"> </v>
      </c>
      <c r="G25" s="7"/>
      <c r="H25" s="7"/>
      <c r="I25" s="7"/>
      <c r="J25" s="8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">
      <c r="A26" s="89"/>
      <c r="B26" s="66" t="s">
        <v>84</v>
      </c>
      <c r="C26" s="66" t="s">
        <v>85</v>
      </c>
      <c r="D26" s="7"/>
      <c r="E26" s="7"/>
      <c r="F26" s="7"/>
      <c r="G26" s="7"/>
      <c r="H26" s="7"/>
      <c r="I26" s="7"/>
      <c r="J26" s="8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 customHeight="1" x14ac:dyDescent="0.25">
      <c r="A27" s="89" t="s">
        <v>86</v>
      </c>
      <c r="B27" s="95">
        <f>'Phase 2 CARBOB for PM Flat'!L48</f>
        <v>2.2000000000000002</v>
      </c>
      <c r="C27" s="96">
        <f>'Phase 2 CARBOB for PM Flat'!L49</f>
        <v>1.8</v>
      </c>
      <c r="D27" s="7" t="s">
        <v>87</v>
      </c>
      <c r="E27" s="7"/>
      <c r="F27" s="1" t="str">
        <f>IF(OR(OR(OR(B27&gt;3.5,C27&lt;0),C27&gt;3.5),B27&lt;0),"INVALID ENTRY SEE PROCEDURES"," ")</f>
        <v xml:space="preserve"> </v>
      </c>
      <c r="G27" s="7"/>
      <c r="H27" s="7"/>
      <c r="I27" s="7"/>
      <c r="J27" s="8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 customHeight="1" x14ac:dyDescent="0.25">
      <c r="A28" s="89"/>
      <c r="B28" s="66"/>
      <c r="C28" s="66"/>
      <c r="D28" s="7"/>
      <c r="E28" s="7"/>
      <c r="F28" s="1" t="str">
        <f>IF(C27&gt;B27,"INVALID ENTRY SEE PROCEDURES"," ")</f>
        <v xml:space="preserve"> </v>
      </c>
      <c r="G28" s="7"/>
      <c r="H28" s="7"/>
      <c r="I28" s="7"/>
      <c r="J28" s="8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89" t="s">
        <v>23</v>
      </c>
      <c r="B29" s="97">
        <f>ROUND('Phase 2 CARBOB for PM Flat'!M50,0)</f>
        <v>1</v>
      </c>
      <c r="C29" s="66"/>
      <c r="D29" s="7" t="s">
        <v>64</v>
      </c>
      <c r="E29" s="7"/>
      <c r="F29" s="1" t="str">
        <f>IF(OR(B29&gt;80,B29&lt;0),"INVALID ENTRY SEE PROCEDURES"," ")</f>
        <v xml:space="preserve"> </v>
      </c>
      <c r="G29" s="7"/>
      <c r="H29" s="7"/>
      <c r="I29" s="7"/>
      <c r="J29" s="8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 customHeight="1" x14ac:dyDescent="0.25">
      <c r="A30" s="89" t="s">
        <v>65</v>
      </c>
      <c r="B30" s="98">
        <f>ROUND('Phase 2 CARBOB for PM Flat'!M51,2)</f>
        <v>0</v>
      </c>
      <c r="C30" s="66"/>
      <c r="D30" s="7" t="s">
        <v>83</v>
      </c>
      <c r="E30" s="7"/>
      <c r="F30" s="1" t="str">
        <f>IF(OR(B30&gt;1.2,B30&lt;0),"INVALID ENTRY SEE PROCEDURES"," ")</f>
        <v xml:space="preserve"> </v>
      </c>
      <c r="G30" s="7"/>
      <c r="H30" s="7"/>
      <c r="I30" s="7"/>
      <c r="J30" s="8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">
      <c r="A31" s="89"/>
      <c r="B31" s="7"/>
      <c r="C31" s="7"/>
      <c r="D31" s="7"/>
      <c r="E31" s="7"/>
      <c r="F31" s="7"/>
      <c r="G31" s="7"/>
      <c r="H31" s="7"/>
      <c r="I31" s="7"/>
      <c r="J31" s="8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">
      <c r="A32" s="89" t="s">
        <v>15</v>
      </c>
      <c r="B32" s="7"/>
      <c r="C32" s="7"/>
      <c r="D32" s="7"/>
      <c r="E32" s="7"/>
      <c r="F32" s="7"/>
      <c r="G32" s="7"/>
      <c r="H32" s="7"/>
      <c r="I32" s="7"/>
      <c r="J32" s="8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">
      <c r="A33" s="89" t="s">
        <v>16</v>
      </c>
      <c r="B33" s="7"/>
      <c r="C33" s="7"/>
      <c r="D33" s="7"/>
      <c r="E33" s="7"/>
      <c r="F33" s="7"/>
      <c r="G33" s="7"/>
      <c r="H33" s="7"/>
      <c r="I33" s="7"/>
      <c r="J33" s="8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">
      <c r="A34" s="89"/>
      <c r="B34" s="7"/>
      <c r="C34" s="7"/>
      <c r="D34" s="7"/>
      <c r="E34" s="7"/>
      <c r="F34" s="7"/>
      <c r="G34" s="7"/>
      <c r="H34" s="7"/>
      <c r="I34" s="7"/>
      <c r="J34" s="8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">
      <c r="A35" s="89"/>
      <c r="B35" s="7"/>
      <c r="C35" s="7"/>
      <c r="D35" s="7"/>
      <c r="E35" s="7"/>
      <c r="F35" s="7"/>
      <c r="G35" s="7"/>
      <c r="H35" s="7"/>
      <c r="I35" s="7"/>
      <c r="J35" s="8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">
      <c r="A36" s="89" t="s">
        <v>17</v>
      </c>
      <c r="B36" s="7"/>
      <c r="C36" s="7"/>
      <c r="D36" s="7"/>
      <c r="E36" s="7"/>
      <c r="F36" s="7"/>
      <c r="G36" s="7"/>
      <c r="H36" s="7"/>
      <c r="I36" s="7"/>
      <c r="J36" s="8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" customHeight="1" x14ac:dyDescent="0.25">
      <c r="A37" s="89" t="s">
        <v>18</v>
      </c>
      <c r="B37" s="9" t="str">
        <f>'Phase 2 CARBOB for PM Flat'!B23</f>
        <v>F</v>
      </c>
      <c r="C37" s="7"/>
      <c r="D37" s="99" t="str">
        <f t="shared" ref="D37:D42" si="0">IF(AND(B37&lt;&gt;"A",B37&lt;&gt;"F"),"INCORRECT ENTRY  'A' OR 'F' ONLY"," ")</f>
        <v xml:space="preserve"> </v>
      </c>
      <c r="E37" s="7"/>
      <c r="F37" s="7"/>
      <c r="G37" s="7"/>
      <c r="H37" s="7"/>
      <c r="I37" s="7"/>
      <c r="J37" s="8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 x14ac:dyDescent="0.25">
      <c r="A38" s="89" t="s">
        <v>20</v>
      </c>
      <c r="B38" s="10" t="str">
        <f>'Phase 2 CARBOB for PM Flat'!B24</f>
        <v>F</v>
      </c>
      <c r="C38" s="7"/>
      <c r="D38" s="99" t="str">
        <f t="shared" si="0"/>
        <v xml:space="preserve"> </v>
      </c>
      <c r="E38" s="7"/>
      <c r="F38" s="7"/>
      <c r="G38" s="7"/>
      <c r="H38" s="7"/>
      <c r="I38" s="7"/>
      <c r="J38" s="8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" customHeight="1" x14ac:dyDescent="0.25">
      <c r="A39" s="89" t="s">
        <v>21</v>
      </c>
      <c r="B39" s="10" t="str">
        <f>'Phase 2 CARBOB for PM Flat'!B25</f>
        <v>F</v>
      </c>
      <c r="C39" s="7"/>
      <c r="D39" s="99" t="str">
        <f t="shared" si="0"/>
        <v xml:space="preserve"> </v>
      </c>
      <c r="E39" s="7"/>
      <c r="F39" s="7"/>
      <c r="G39" s="7"/>
      <c r="H39" s="7"/>
      <c r="I39" s="7"/>
      <c r="J39" s="8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 x14ac:dyDescent="0.25">
      <c r="A40" s="89" t="s">
        <v>22</v>
      </c>
      <c r="B40" s="10" t="str">
        <f>'Phase 2 CARBOB for PM Flat'!B26</f>
        <v>F</v>
      </c>
      <c r="C40" s="7"/>
      <c r="D40" s="99" t="str">
        <f t="shared" si="0"/>
        <v xml:space="preserve"> </v>
      </c>
      <c r="E40" s="7"/>
      <c r="F40" s="7"/>
      <c r="G40" s="7"/>
      <c r="H40" s="7"/>
      <c r="I40" s="7"/>
      <c r="J40" s="8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 x14ac:dyDescent="0.25">
      <c r="A41" s="89" t="s">
        <v>23</v>
      </c>
      <c r="B41" s="10" t="str">
        <f>'Phase 2 CARBOB for PM Flat'!B27</f>
        <v>F</v>
      </c>
      <c r="C41" s="7"/>
      <c r="D41" s="99" t="str">
        <f t="shared" si="0"/>
        <v xml:space="preserve"> </v>
      </c>
      <c r="E41" s="7"/>
      <c r="F41" s="7"/>
      <c r="G41" s="7"/>
      <c r="H41" s="7"/>
      <c r="I41" s="7"/>
      <c r="J41" s="8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.75" customHeight="1" x14ac:dyDescent="0.25">
      <c r="A42" s="89" t="s">
        <v>25</v>
      </c>
      <c r="B42" s="12" t="str">
        <f>'Phase 2 CARBOB for PM Flat'!B28</f>
        <v>F</v>
      </c>
      <c r="C42" s="7"/>
      <c r="D42" s="99" t="str">
        <f t="shared" si="0"/>
        <v xml:space="preserve"> </v>
      </c>
      <c r="E42" s="7"/>
      <c r="F42" s="7"/>
      <c r="G42" s="7"/>
      <c r="H42" s="7"/>
      <c r="I42" s="7"/>
      <c r="J42" s="8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">
      <c r="A43" s="89"/>
      <c r="B43" s="7"/>
      <c r="C43" s="7"/>
      <c r="D43" s="7"/>
      <c r="E43" s="7"/>
      <c r="F43" s="7"/>
      <c r="G43" s="7"/>
      <c r="H43" s="7"/>
      <c r="I43" s="7"/>
      <c r="J43" s="8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90"/>
      <c r="B44" s="7"/>
      <c r="C44" s="7"/>
      <c r="D44" s="7"/>
      <c r="E44" s="7"/>
      <c r="F44" s="7"/>
      <c r="G44" s="7"/>
      <c r="H44" s="7"/>
      <c r="I44" s="7"/>
      <c r="J44" s="8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90" t="s">
        <v>88</v>
      </c>
      <c r="B45" s="7"/>
      <c r="C45" s="7"/>
      <c r="D45" s="7"/>
      <c r="E45" s="7"/>
      <c r="F45" s="7"/>
      <c r="G45" s="7"/>
      <c r="H45" s="7"/>
      <c r="I45" s="7"/>
      <c r="J45" s="8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">
      <c r="A46" s="89"/>
      <c r="B46" s="7"/>
      <c r="C46" s="7"/>
      <c r="D46" s="7"/>
      <c r="E46" s="7"/>
      <c r="F46" s="7"/>
      <c r="G46" s="7"/>
      <c r="H46" s="7"/>
      <c r="I46" s="7"/>
      <c r="J46" s="8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">
      <c r="A47" s="89"/>
      <c r="B47" s="7"/>
      <c r="C47" s="7"/>
      <c r="D47" s="7"/>
      <c r="E47" s="7"/>
      <c r="F47" s="7"/>
      <c r="G47" s="7"/>
      <c r="H47" s="100"/>
      <c r="I47" s="7"/>
      <c r="J47" s="8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">
      <c r="A48" s="89"/>
      <c r="B48" s="7"/>
      <c r="C48" s="7"/>
      <c r="D48" s="7"/>
      <c r="E48" s="7"/>
      <c r="F48" s="7"/>
      <c r="G48" s="7"/>
      <c r="H48" s="100"/>
      <c r="I48" s="7"/>
      <c r="J48" s="8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">
      <c r="A49" s="89"/>
      <c r="B49" s="7"/>
      <c r="C49" s="7"/>
      <c r="D49" s="7"/>
      <c r="E49" s="7"/>
      <c r="F49" s="7"/>
      <c r="G49" s="7"/>
      <c r="H49" s="7"/>
      <c r="I49" s="7"/>
      <c r="J49" s="8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89"/>
      <c r="B50" s="35" t="s">
        <v>89</v>
      </c>
      <c r="C50" s="7"/>
      <c r="D50" s="7"/>
      <c r="E50" s="7"/>
      <c r="F50" s="7"/>
      <c r="G50" s="7"/>
      <c r="H50" s="7"/>
      <c r="I50" s="7"/>
      <c r="J50" s="8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89"/>
      <c r="B51" s="35"/>
      <c r="C51" s="7"/>
      <c r="D51" s="7"/>
      <c r="E51" s="7"/>
      <c r="F51" s="7"/>
      <c r="G51" s="7"/>
      <c r="H51" s="7"/>
      <c r="I51" s="7"/>
      <c r="J51" s="8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">
      <c r="A52" s="89"/>
      <c r="B52" s="7" t="s">
        <v>90</v>
      </c>
      <c r="C52" s="7"/>
      <c r="D52" s="7"/>
      <c r="E52" s="7"/>
      <c r="F52" s="7"/>
      <c r="G52" s="7"/>
      <c r="H52" s="7"/>
      <c r="I52" s="7"/>
      <c r="J52" s="8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">
      <c r="A53" s="89"/>
      <c r="B53" s="7"/>
      <c r="C53" s="7"/>
      <c r="D53" s="7"/>
      <c r="E53" s="7"/>
      <c r="F53" s="7"/>
      <c r="G53" s="7"/>
      <c r="H53" s="7"/>
      <c r="I53" s="7"/>
      <c r="J53" s="8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">
      <c r="A54" s="89"/>
      <c r="B54" s="7" t="s">
        <v>91</v>
      </c>
      <c r="C54" s="7"/>
      <c r="D54" s="7" t="s">
        <v>92</v>
      </c>
      <c r="E54" s="7"/>
      <c r="F54" s="7"/>
      <c r="G54" s="7"/>
      <c r="H54" s="7"/>
      <c r="I54" s="7"/>
      <c r="J54" s="8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">
      <c r="A55" s="89"/>
      <c r="B55" s="7" t="s">
        <v>93</v>
      </c>
      <c r="C55" s="7"/>
      <c r="D55" s="7" t="s">
        <v>93</v>
      </c>
      <c r="E55" s="7" t="s">
        <v>93</v>
      </c>
      <c r="F55" s="7"/>
      <c r="G55" s="7"/>
      <c r="H55" s="7"/>
      <c r="I55" s="7"/>
      <c r="J55" s="8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">
      <c r="A56" s="89"/>
      <c r="B56" s="7" t="s">
        <v>94</v>
      </c>
      <c r="C56" s="7"/>
      <c r="D56" s="101">
        <f>($L$170)</f>
        <v>9.5787859879186961</v>
      </c>
      <c r="E56" s="7"/>
      <c r="F56" s="102"/>
      <c r="G56" s="7"/>
      <c r="H56" s="7"/>
      <c r="I56" s="7"/>
      <c r="J56" s="8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">
      <c r="A57" s="89"/>
      <c r="B57" s="7" t="s">
        <v>95</v>
      </c>
      <c r="C57" s="7"/>
      <c r="D57" s="101">
        <f>($L$171)</f>
        <v>-15.6829758532269</v>
      </c>
      <c r="E57" s="7"/>
      <c r="F57" s="102"/>
      <c r="G57" s="7"/>
      <c r="H57" s="7"/>
      <c r="I57" s="7"/>
      <c r="J57" s="8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">
      <c r="A58" s="89"/>
      <c r="B58" s="7" t="s">
        <v>96</v>
      </c>
      <c r="C58" s="7"/>
      <c r="D58" s="101">
        <f>($L$176)</f>
        <v>-70.655358198372596</v>
      </c>
      <c r="E58" s="102" t="s">
        <v>93</v>
      </c>
      <c r="F58" s="102"/>
      <c r="G58" s="7"/>
      <c r="H58" s="7"/>
      <c r="I58" s="7"/>
      <c r="J58" s="8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">
      <c r="A59" s="89"/>
      <c r="B59" s="7"/>
      <c r="C59" s="7"/>
      <c r="D59" s="102"/>
      <c r="E59" s="102"/>
      <c r="F59" s="102"/>
      <c r="G59" s="7"/>
      <c r="H59" s="7"/>
      <c r="I59" s="7"/>
      <c r="J59" s="8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">
      <c r="A60" s="89"/>
      <c r="B60" s="7"/>
      <c r="C60" s="7"/>
      <c r="D60" s="7"/>
      <c r="E60" s="7"/>
      <c r="F60" s="7"/>
      <c r="G60" s="7"/>
      <c r="H60" s="7"/>
      <c r="I60" s="7"/>
      <c r="J60" s="8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89"/>
      <c r="B61" s="35" t="s">
        <v>97</v>
      </c>
      <c r="C61" s="7"/>
      <c r="D61" s="7"/>
      <c r="E61" s="7"/>
      <c r="F61" s="7"/>
      <c r="G61" s="7"/>
      <c r="H61" s="7"/>
      <c r="I61" s="7"/>
      <c r="J61" s="8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">
      <c r="A62" s="89"/>
      <c r="B62" s="7"/>
      <c r="C62" s="7"/>
      <c r="D62" s="7"/>
      <c r="E62" s="7"/>
      <c r="F62" s="7"/>
      <c r="G62" s="7"/>
      <c r="H62" s="7"/>
      <c r="I62" s="7"/>
      <c r="J62" s="8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">
      <c r="A63" s="89"/>
      <c r="B63" s="7" t="s">
        <v>90</v>
      </c>
      <c r="C63" s="7"/>
      <c r="D63" s="7"/>
      <c r="E63" s="7"/>
      <c r="F63" s="7"/>
      <c r="G63" s="7"/>
      <c r="H63" s="7"/>
      <c r="I63" s="7"/>
      <c r="J63" s="8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">
      <c r="A64" s="89"/>
      <c r="B64" s="7"/>
      <c r="C64" s="7"/>
      <c r="D64" s="7"/>
      <c r="E64" s="7"/>
      <c r="F64" s="7"/>
      <c r="G64" s="7"/>
      <c r="H64" s="7"/>
      <c r="I64" s="7"/>
      <c r="J64" s="89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">
      <c r="A65" s="89"/>
      <c r="B65" s="7" t="s">
        <v>91</v>
      </c>
      <c r="C65" s="7"/>
      <c r="D65" s="7" t="s">
        <v>98</v>
      </c>
      <c r="E65" s="7"/>
      <c r="F65" s="7"/>
      <c r="G65" s="7"/>
      <c r="H65" s="7"/>
      <c r="I65" s="7"/>
      <c r="J65" s="8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">
      <c r="A66" s="89"/>
      <c r="B66" s="7" t="s">
        <v>93</v>
      </c>
      <c r="C66" s="7"/>
      <c r="D66" s="7" t="s">
        <v>93</v>
      </c>
      <c r="E66" s="7" t="s">
        <v>93</v>
      </c>
      <c r="F66" s="7"/>
      <c r="G66" s="7"/>
      <c r="H66" s="7"/>
      <c r="I66" s="7"/>
      <c r="J66" s="8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">
      <c r="A67" s="89"/>
      <c r="B67" s="7" t="s">
        <v>94</v>
      </c>
      <c r="C67" s="102"/>
      <c r="D67" s="101">
        <f>($L$264)</f>
        <v>9.5787859879186961</v>
      </c>
      <c r="E67" s="7"/>
      <c r="F67" s="102"/>
      <c r="G67" s="7"/>
      <c r="H67" s="7"/>
      <c r="I67" s="7"/>
      <c r="J67" s="8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">
      <c r="A68" s="89"/>
      <c r="B68" s="7" t="s">
        <v>95</v>
      </c>
      <c r="C68" s="102"/>
      <c r="D68" s="101">
        <f>($L$265)</f>
        <v>-15.682751012291714</v>
      </c>
      <c r="E68" s="7"/>
      <c r="F68" s="102"/>
      <c r="G68" s="7"/>
      <c r="H68" s="7"/>
      <c r="I68" s="7"/>
      <c r="J68" s="8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">
      <c r="A69" s="89"/>
      <c r="B69" s="7" t="s">
        <v>96</v>
      </c>
      <c r="C69" s="102"/>
      <c r="D69" s="101">
        <f>($L$270)</f>
        <v>-70.655358198372596</v>
      </c>
      <c r="E69" s="102" t="s">
        <v>93</v>
      </c>
      <c r="F69" s="102"/>
      <c r="G69" s="7"/>
      <c r="H69" s="7"/>
      <c r="I69" s="7"/>
      <c r="J69" s="8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">
      <c r="A70" s="89"/>
      <c r="B70" s="7"/>
      <c r="C70" s="102"/>
      <c r="D70" s="7"/>
      <c r="E70" s="7"/>
      <c r="F70" s="102"/>
      <c r="G70" s="102"/>
      <c r="H70" s="102"/>
      <c r="I70" s="7"/>
      <c r="J70" s="8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" customHeight="1" x14ac:dyDescent="0.25">
      <c r="A71" s="103" t="s">
        <v>99</v>
      </c>
      <c r="B71" s="7"/>
      <c r="C71" s="104" t="str">
        <f>IF(AND(AND(AND(AND(AND(ROUND(L170,2)&lt;0.05,ROUND(L171,2)&lt;0.05),ROUND(L176,2)&lt;0.05),ROUND(L264,2)&lt;0.05),ROUND(L265,2)&lt;0.05),ROUND(L270,2)&lt;0.05),"PASSES","FAILS")</f>
        <v>FAILS</v>
      </c>
      <c r="D71" s="105" t="s">
        <v>100</v>
      </c>
      <c r="E71" s="102"/>
      <c r="F71" s="102"/>
      <c r="G71" s="102"/>
      <c r="H71" s="102"/>
      <c r="I71" s="7"/>
      <c r="J71" s="8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" customHeight="1" x14ac:dyDescent="0.25">
      <c r="A72" s="103" t="s">
        <v>101</v>
      </c>
      <c r="B72" s="7"/>
      <c r="C72" s="102"/>
      <c r="D72" s="102"/>
      <c r="E72" s="7"/>
      <c r="F72" s="102"/>
      <c r="G72" s="102"/>
      <c r="H72" s="7"/>
      <c r="I72" s="7"/>
      <c r="J72" s="8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" customHeight="1" x14ac:dyDescent="0.25">
      <c r="A73" s="14" t="str">
        <f>IF(AND(AND(AND(AND(AND(ROUND(L170,2)&lt;0.05,ROUND(L171,2)&lt;0.05),ROUND(L176,2)&lt;0.05),ROUND(L264,2)&lt;0.05),ROUND(L265,2)&lt;0.05),ROUND(L270,2)&lt;0.05),"LESS THAN OR EQUAL TO 0.04%","GREATER THAN OR EQUAL TO 0.05%")</f>
        <v>GREATER THAN OR EQUAL TO 0.05%</v>
      </c>
      <c r="B73" s="7"/>
      <c r="C73" s="7"/>
      <c r="D73" s="7"/>
      <c r="E73" s="7"/>
      <c r="F73" s="7"/>
      <c r="G73" s="7"/>
      <c r="H73" s="7"/>
      <c r="I73" s="7"/>
      <c r="J73" s="8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">
      <c r="A74" s="89"/>
      <c r="B74" s="7"/>
      <c r="C74" s="7"/>
      <c r="D74" s="7"/>
      <c r="E74" s="7"/>
      <c r="F74" s="7"/>
      <c r="G74" s="7"/>
      <c r="H74" s="7"/>
      <c r="I74" s="7"/>
      <c r="J74" s="8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">
      <c r="A75" s="89"/>
      <c r="B75" s="7"/>
      <c r="C75" s="7"/>
      <c r="D75" s="7"/>
      <c r="E75" s="7"/>
      <c r="F75" s="7"/>
      <c r="G75" s="7"/>
      <c r="H75" s="7"/>
      <c r="I75" s="7"/>
      <c r="J75" s="8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">
      <c r="A76" s="87"/>
      <c r="B76" s="87"/>
      <c r="C76" s="87"/>
      <c r="D76" s="87"/>
      <c r="E76" s="87"/>
      <c r="F76" s="87"/>
      <c r="G76" s="87"/>
      <c r="H76" s="87"/>
      <c r="I76" s="8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">
      <c r="A77" s="7" t="s">
        <v>102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">
      <c r="A78" s="7"/>
      <c r="B78" s="7" t="s">
        <v>103</v>
      </c>
      <c r="C78" s="7" t="s">
        <v>104</v>
      </c>
      <c r="D78" s="7" t="s">
        <v>105</v>
      </c>
      <c r="E78" s="7" t="s">
        <v>106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">
      <c r="A79" s="7" t="s">
        <v>107</v>
      </c>
      <c r="B79" s="7">
        <f>IF(AND(C27&gt;=1.8,B27&lt;=2.2),2,100)</f>
        <v>2</v>
      </c>
      <c r="C79" s="7">
        <f>IF(AND(C27&gt;=1.8,B27&lt;=2.2),2,100)</f>
        <v>2</v>
      </c>
      <c r="D79" s="7">
        <f>IF(AND(C27&gt;=1.8,B27&lt;=2.2),2,100)</f>
        <v>2</v>
      </c>
      <c r="E79" s="7">
        <f>IF(AND(C27&gt;=1.8,B27&lt;=2.2),2,100)</f>
        <v>2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">
      <c r="A80" s="7" t="s">
        <v>108</v>
      </c>
      <c r="B80" s="7">
        <f>IF(AND(AND(C27&gt;=1.8,C27&lt;=2.2),B27&gt;2.2),2,100)</f>
        <v>100</v>
      </c>
      <c r="C80" s="7">
        <f>IF(AND(AND(C27&gt;=1.8,C27&lt;=2.2),B27&gt;2.2),1.8,100)</f>
        <v>100</v>
      </c>
      <c r="D80" s="102">
        <f>IF(AND(AND(C27&gt;=1.8,C27&lt;=2.2),B27&gt;2.2),B27,100)</f>
        <v>100</v>
      </c>
      <c r="E80" s="102">
        <f>IF(AND(AND(C27&gt;=1.8,C27&lt;=2.2),B27&gt;2.2),C27,100)</f>
        <v>100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">
      <c r="A81" s="7" t="s">
        <v>109</v>
      </c>
      <c r="B81" s="7">
        <f>IF(AND(AND(C27&lt;1.8,B27&gt;=1.8),B27&lt;=2.2),2.2,100)</f>
        <v>100</v>
      </c>
      <c r="C81" s="7">
        <f>IF(AND(AND(C27&lt;1.8,B27&gt;=1.8),B27&lt;=2.2),2,100)</f>
        <v>100</v>
      </c>
      <c r="D81" s="7">
        <f>IF(AND(AND(C27&lt;1.8,B27&gt;=1.8),B27&lt;=2.2),B27,100)</f>
        <v>100</v>
      </c>
      <c r="E81" s="7">
        <f>IF(AND(AND(C27&lt;1.8,B27&gt;=1.8),B27&lt;=2.2),C27,100)</f>
        <v>100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">
      <c r="A82" s="7" t="s">
        <v>110</v>
      </c>
      <c r="B82" s="7">
        <f t="shared" ref="B82:C82" si="1">IF(AND($C$27&lt;1.8,$B$27&gt;2.2),2,100)</f>
        <v>100</v>
      </c>
      <c r="C82" s="7">
        <f t="shared" si="1"/>
        <v>100</v>
      </c>
      <c r="D82" s="7">
        <f t="shared" ref="D82:E82" si="2">IF(AND($C$27&lt;1.8,$B$27&gt;2.2),B27,100)</f>
        <v>100</v>
      </c>
      <c r="E82" s="7">
        <f t="shared" si="2"/>
        <v>100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">
      <c r="A83" s="7" t="s">
        <v>111</v>
      </c>
      <c r="B83" s="7">
        <f>IF(AND(C27&lt;1.8,B27&lt;1.8),2,100)</f>
        <v>100</v>
      </c>
      <c r="C83" s="7">
        <f>IF(AND(C27&lt;1.8,B27&lt;1.8),2,100)</f>
        <v>100</v>
      </c>
      <c r="D83" s="7">
        <f>IF(AND(C27&lt;1.8,B27&lt;1.8),B27,100)</f>
        <v>100</v>
      </c>
      <c r="E83" s="7">
        <f>IF(AND(C27&lt;1.8,B27&lt;1.8),C27,100)</f>
        <v>100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">
      <c r="A84" s="7" t="s">
        <v>112</v>
      </c>
      <c r="B84" s="7">
        <f>IF(AND(C27&gt;2.2,B27&gt;2.2),2,100)</f>
        <v>100</v>
      </c>
      <c r="C84" s="7">
        <f>IF(AND(C27&gt;2.2,B27&gt;2.2),2,100)</f>
        <v>100</v>
      </c>
      <c r="D84" s="7">
        <f>IF(AND(C27&gt;2.2,B27&gt;2.2),B27,100)</f>
        <v>100</v>
      </c>
      <c r="E84" s="7">
        <f>IF(AND(C27&gt;2.2,B27&gt;2.2),C27,100)</f>
        <v>100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">
      <c r="A85" s="106" t="s">
        <v>113</v>
      </c>
      <c r="B85" s="107">
        <f t="shared" ref="B85:E85" si="3">SUM(B79:B84)-500</f>
        <v>2</v>
      </c>
      <c r="C85" s="107">
        <f t="shared" si="3"/>
        <v>2</v>
      </c>
      <c r="D85" s="107">
        <f t="shared" si="3"/>
        <v>2</v>
      </c>
      <c r="E85" s="107">
        <f t="shared" si="3"/>
        <v>2</v>
      </c>
      <c r="F85" s="10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">
      <c r="A86" s="107"/>
      <c r="B86" s="107"/>
      <c r="C86" s="107"/>
      <c r="D86" s="107"/>
      <c r="E86" s="10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35" t="s">
        <v>114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">
      <c r="A95" s="7"/>
      <c r="B95" s="7"/>
      <c r="C95" s="7"/>
      <c r="D95" s="7"/>
      <c r="E95" s="7"/>
      <c r="F95" s="7" t="s">
        <v>115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">
      <c r="A96" s="7" t="s">
        <v>17</v>
      </c>
      <c r="B96" s="7" t="s">
        <v>116</v>
      </c>
      <c r="C96" s="7" t="s">
        <v>117</v>
      </c>
      <c r="D96" s="7"/>
      <c r="E96" s="7"/>
      <c r="F96" s="7"/>
      <c r="G96" s="7" t="s">
        <v>118</v>
      </c>
      <c r="H96" s="7" t="s">
        <v>118</v>
      </c>
      <c r="I96" s="7" t="s">
        <v>119</v>
      </c>
      <c r="J96" s="7" t="s">
        <v>119</v>
      </c>
      <c r="K96" s="7" t="s">
        <v>98</v>
      </c>
      <c r="L96" s="7"/>
      <c r="M96" s="7"/>
      <c r="N96" s="7" t="s">
        <v>120</v>
      </c>
      <c r="O96" s="7"/>
      <c r="P96" s="7"/>
      <c r="Q96" s="7"/>
      <c r="R96" s="7" t="s">
        <v>121</v>
      </c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">
      <c r="A97" s="7" t="s">
        <v>81</v>
      </c>
      <c r="B97" s="7">
        <v>7</v>
      </c>
      <c r="C97" s="7">
        <v>7</v>
      </c>
      <c r="D97" s="7"/>
      <c r="E97" s="7"/>
      <c r="F97" s="7" t="s">
        <v>91</v>
      </c>
      <c r="G97" s="7" t="s">
        <v>122</v>
      </c>
      <c r="H97" s="7" t="s">
        <v>123</v>
      </c>
      <c r="I97" s="7" t="s">
        <v>122</v>
      </c>
      <c r="J97" s="7" t="s">
        <v>123</v>
      </c>
      <c r="K97" s="7" t="s">
        <v>122</v>
      </c>
      <c r="L97" s="7" t="s">
        <v>123</v>
      </c>
      <c r="M97" s="7"/>
      <c r="N97" s="7" t="s">
        <v>91</v>
      </c>
      <c r="O97" s="7" t="s">
        <v>118</v>
      </c>
      <c r="P97" s="7" t="s">
        <v>119</v>
      </c>
      <c r="Q97" s="7"/>
      <c r="R97" s="7" t="s">
        <v>91</v>
      </c>
      <c r="S97" s="7"/>
      <c r="T97" s="7" t="s">
        <v>124</v>
      </c>
      <c r="U97" s="7"/>
      <c r="V97" s="7"/>
      <c r="W97" s="7"/>
      <c r="X97" s="7"/>
      <c r="Y97" s="7"/>
      <c r="Z97" s="7"/>
    </row>
    <row r="98" spans="1:26" ht="15.75" customHeight="1" x14ac:dyDescent="0.2">
      <c r="A98" s="7" t="s">
        <v>18</v>
      </c>
      <c r="B98" s="7">
        <f>IF(B37="A",200,210)</f>
        <v>210</v>
      </c>
      <c r="C98" s="109">
        <f t="shared" ref="C98:C101" si="4">VALUE(B22)</f>
        <v>80</v>
      </c>
      <c r="D98" s="7"/>
      <c r="E98" s="7"/>
      <c r="F98" s="7" t="s">
        <v>94</v>
      </c>
      <c r="G98" s="63" t="s">
        <v>125</v>
      </c>
      <c r="H98" s="63">
        <f>($J$170)</f>
        <v>33.150147967615403</v>
      </c>
      <c r="I98" s="63" t="s">
        <v>125</v>
      </c>
      <c r="J98" s="63">
        <f>($K$170)</f>
        <v>4.6133901229462673</v>
      </c>
      <c r="K98" s="63" t="s">
        <v>125</v>
      </c>
      <c r="L98" s="63">
        <f>($L$170)</f>
        <v>9.5787859879186961</v>
      </c>
      <c r="M98" s="7"/>
      <c r="N98" s="7" t="s">
        <v>94</v>
      </c>
      <c r="O98" s="7">
        <v>0.17399999999999999</v>
      </c>
      <c r="P98" s="7">
        <v>0.82599999999999996</v>
      </c>
      <c r="Q98" s="7"/>
      <c r="R98" s="7" t="s">
        <v>65</v>
      </c>
      <c r="S98" s="7"/>
      <c r="T98" s="7">
        <v>0.17</v>
      </c>
      <c r="U98" s="7"/>
      <c r="V98" s="7"/>
      <c r="W98" s="7"/>
      <c r="X98" s="7"/>
      <c r="Y98" s="7"/>
      <c r="Z98" s="7"/>
    </row>
    <row r="99" spans="1:26" ht="15.75" customHeight="1" x14ac:dyDescent="0.2">
      <c r="A99" s="7" t="s">
        <v>20</v>
      </c>
      <c r="B99" s="7">
        <f>IF(B38="A",290,300)</f>
        <v>300</v>
      </c>
      <c r="C99" s="109">
        <f t="shared" si="4"/>
        <v>-1</v>
      </c>
      <c r="D99" s="7"/>
      <c r="E99" s="7"/>
      <c r="F99" s="7" t="s">
        <v>95</v>
      </c>
      <c r="G99" s="63" t="s">
        <v>125</v>
      </c>
      <c r="H99" s="63">
        <f>($J$171)</f>
        <v>4.9835393550459317</v>
      </c>
      <c r="I99" s="63" t="s">
        <v>125</v>
      </c>
      <c r="J99" s="63">
        <f>($K$171)</f>
        <v>-20.785182849783034</v>
      </c>
      <c r="K99" s="63" t="s">
        <v>125</v>
      </c>
      <c r="L99" s="63">
        <f>($L$171)</f>
        <v>-15.6829758532269</v>
      </c>
      <c r="M99" s="7"/>
      <c r="N99" s="7" t="s">
        <v>95</v>
      </c>
      <c r="O99" s="7">
        <v>0.19800000000000001</v>
      </c>
      <c r="P99" s="7">
        <v>0.80200000000000005</v>
      </c>
      <c r="Q99" s="7"/>
      <c r="R99" s="7" t="s">
        <v>126</v>
      </c>
      <c r="S99" s="7"/>
      <c r="T99" s="7">
        <v>1</v>
      </c>
      <c r="U99" s="7"/>
      <c r="V99" s="7"/>
      <c r="W99" s="7"/>
      <c r="X99" s="7"/>
      <c r="Y99" s="7"/>
      <c r="Z99" s="7"/>
    </row>
    <row r="100" spans="1:26" ht="15.75" customHeight="1" x14ac:dyDescent="0.2">
      <c r="A100" s="7" t="s">
        <v>21</v>
      </c>
      <c r="B100" s="7">
        <f>IF(B39="A",22,25)</f>
        <v>25</v>
      </c>
      <c r="C100" s="102">
        <f t="shared" si="4"/>
        <v>0.1</v>
      </c>
      <c r="D100" s="7"/>
      <c r="E100" s="7"/>
      <c r="F100" s="7" t="s">
        <v>65</v>
      </c>
      <c r="G100" s="63">
        <f>($J$172)</f>
        <v>-50.316914650530634</v>
      </c>
      <c r="H100" s="63" t="s">
        <v>125</v>
      </c>
      <c r="I100" s="63">
        <f>($K$172)</f>
        <v>-70.966337732454321</v>
      </c>
      <c r="J100" s="63" t="s">
        <v>125</v>
      </c>
      <c r="K100" s="63">
        <f>($L$172)</f>
        <v>-66.993825098779823</v>
      </c>
      <c r="L100" s="63" t="s">
        <v>125</v>
      </c>
      <c r="M100" s="7"/>
      <c r="N100" s="7" t="s">
        <v>127</v>
      </c>
      <c r="O100" s="7">
        <v>8.8999999999999996E-2</v>
      </c>
      <c r="P100" s="7">
        <v>0.91100000000000003</v>
      </c>
      <c r="Q100" s="7"/>
      <c r="R100" s="7" t="s">
        <v>128</v>
      </c>
      <c r="S100" s="7"/>
      <c r="T100" s="7">
        <v>3.5000000000000003E-2</v>
      </c>
      <c r="U100" s="7"/>
      <c r="V100" s="7"/>
      <c r="W100" s="7"/>
      <c r="X100" s="7"/>
      <c r="Y100" s="7"/>
      <c r="Z100" s="7"/>
    </row>
    <row r="101" spans="1:26" ht="15.75" customHeight="1" x14ac:dyDescent="0.2">
      <c r="A101" s="7" t="s">
        <v>22</v>
      </c>
      <c r="B101" s="7">
        <f>IF(B40="A",4,6)</f>
        <v>6</v>
      </c>
      <c r="C101" s="102">
        <f t="shared" si="4"/>
        <v>0</v>
      </c>
      <c r="D101" s="7"/>
      <c r="E101" s="7"/>
      <c r="F101" s="7" t="s">
        <v>126</v>
      </c>
      <c r="G101" s="63">
        <f>($J$173)</f>
        <v>-87.621946609973392</v>
      </c>
      <c r="H101" s="63" t="s">
        <v>125</v>
      </c>
      <c r="I101" s="63">
        <f>($K$173)</f>
        <v>-80.10590409827482</v>
      </c>
      <c r="J101" s="63" t="s">
        <v>125</v>
      </c>
      <c r="K101" s="63">
        <f>($L$173)</f>
        <v>-81.378936012028674</v>
      </c>
      <c r="L101" s="63" t="s">
        <v>125</v>
      </c>
      <c r="M101" s="7"/>
      <c r="N101" s="7"/>
      <c r="O101" s="7"/>
      <c r="P101" s="7"/>
      <c r="Q101" s="7"/>
      <c r="R101" s="7" t="s">
        <v>129</v>
      </c>
      <c r="S101" s="7"/>
      <c r="T101" s="7">
        <v>1.6E-2</v>
      </c>
      <c r="U101" s="7"/>
      <c r="V101" s="7"/>
      <c r="W101" s="7"/>
      <c r="X101" s="7"/>
      <c r="Y101" s="7"/>
      <c r="Z101" s="7"/>
    </row>
    <row r="102" spans="1:26" ht="15.75" customHeight="1" x14ac:dyDescent="0.2">
      <c r="A102" s="7" t="s">
        <v>86</v>
      </c>
      <c r="B102" s="7">
        <f>VALUE(B85)</f>
        <v>2</v>
      </c>
      <c r="C102" s="102">
        <f>VALUE(D85)</f>
        <v>2</v>
      </c>
      <c r="D102" s="7"/>
      <c r="E102" s="7"/>
      <c r="F102" s="7" t="s">
        <v>128</v>
      </c>
      <c r="G102" s="63">
        <f>($J$174)</f>
        <v>36.308973507536955</v>
      </c>
      <c r="H102" s="63" t="s">
        <v>125</v>
      </c>
      <c r="I102" s="63">
        <f>($K$174)</f>
        <v>-56.38056462421882</v>
      </c>
      <c r="J102" s="63" t="s">
        <v>125</v>
      </c>
      <c r="K102" s="63">
        <f>($L$174)</f>
        <v>-21.900178183657438</v>
      </c>
      <c r="L102" s="63" t="s">
        <v>125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">
      <c r="A103" s="7" t="s">
        <v>23</v>
      </c>
      <c r="B103" s="7">
        <f>IF(B41="A",30,40)</f>
        <v>40</v>
      </c>
      <c r="C103" s="109">
        <f t="shared" ref="C103:C104" si="5">VALUE(B29)</f>
        <v>1</v>
      </c>
      <c r="D103" s="7"/>
      <c r="E103" s="7"/>
      <c r="F103" s="7" t="s">
        <v>129</v>
      </c>
      <c r="G103" s="63">
        <f>($J$175)</f>
        <v>30.761615578283948</v>
      </c>
      <c r="H103" s="63" t="s">
        <v>125</v>
      </c>
      <c r="I103" s="63">
        <f>($K$175)</f>
        <v>-72.470916226423086</v>
      </c>
      <c r="J103" s="63" t="s">
        <v>125</v>
      </c>
      <c r="K103" s="63">
        <f>($L$175)</f>
        <v>-39.674942907144704</v>
      </c>
      <c r="L103" s="63" t="s">
        <v>125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">
      <c r="A104" s="7" t="s">
        <v>25</v>
      </c>
      <c r="B104" s="7">
        <f>IF(B42="A",0.8,1)</f>
        <v>1</v>
      </c>
      <c r="C104" s="101">
        <f t="shared" si="5"/>
        <v>0</v>
      </c>
      <c r="D104" s="7"/>
      <c r="E104" s="7"/>
      <c r="F104" s="7" t="s">
        <v>96</v>
      </c>
      <c r="G104" s="63">
        <f>($J$176)</f>
        <v>-55.296948805224254</v>
      </c>
      <c r="H104" s="63" t="s">
        <v>125</v>
      </c>
      <c r="I104" s="63">
        <f>($K$176)</f>
        <v>-74.303333301779801</v>
      </c>
      <c r="J104" s="63" t="s">
        <v>125</v>
      </c>
      <c r="K104" s="63">
        <f>($L$176)</f>
        <v>-70.655358198372596</v>
      </c>
      <c r="L104" s="63" t="s">
        <v>125</v>
      </c>
      <c r="M104" s="7"/>
      <c r="N104" s="7" t="s">
        <v>130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 t="s">
        <v>131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">
      <c r="A107" s="7" t="s">
        <v>132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">
      <c r="A108" s="7"/>
      <c r="B108" s="7" t="s">
        <v>118</v>
      </c>
      <c r="C108" s="7" t="s">
        <v>118</v>
      </c>
      <c r="D108" s="7"/>
      <c r="E108" s="7" t="s">
        <v>119</v>
      </c>
      <c r="F108" s="7" t="s">
        <v>119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">
      <c r="A109" s="7" t="s">
        <v>17</v>
      </c>
      <c r="B109" s="7" t="s">
        <v>133</v>
      </c>
      <c r="C109" s="7" t="s">
        <v>134</v>
      </c>
      <c r="D109" s="7"/>
      <c r="E109" s="7" t="s">
        <v>133</v>
      </c>
      <c r="F109" s="7" t="s">
        <v>134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">
      <c r="A110" s="7" t="s">
        <v>81</v>
      </c>
      <c r="B110" s="7">
        <v>8.6514190000000006</v>
      </c>
      <c r="C110" s="7">
        <v>0.58043800000000001</v>
      </c>
      <c r="D110" s="7"/>
      <c r="E110" s="7">
        <v>8.7073479999999996</v>
      </c>
      <c r="F110" s="7">
        <v>0.52812999999999999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">
      <c r="A111" s="7" t="s">
        <v>18</v>
      </c>
      <c r="B111" s="7">
        <v>211.338086</v>
      </c>
      <c r="C111" s="7">
        <v>17.374327000000001</v>
      </c>
      <c r="D111" s="7"/>
      <c r="E111" s="7">
        <v>208.186678</v>
      </c>
      <c r="F111" s="7">
        <v>18.149553000000001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">
      <c r="A112" s="7" t="s">
        <v>20</v>
      </c>
      <c r="B112" s="7">
        <v>315.83982600000002</v>
      </c>
      <c r="C112" s="7">
        <v>25.694735999999999</v>
      </c>
      <c r="D112" s="7"/>
      <c r="E112" s="7">
        <v>311.36878999999999</v>
      </c>
      <c r="F112" s="7">
        <v>22.988439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">
      <c r="A113" s="7" t="s">
        <v>21</v>
      </c>
      <c r="B113" s="7">
        <v>30.967804999999998</v>
      </c>
      <c r="C113" s="7">
        <v>9.4918770000000006</v>
      </c>
      <c r="D113" s="7"/>
      <c r="E113" s="7">
        <v>28.604565999999998</v>
      </c>
      <c r="F113" s="7">
        <v>7.8486739999999999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">
      <c r="A114" s="7" t="s">
        <v>22</v>
      </c>
      <c r="B114" s="7">
        <v>8.3467199999999995</v>
      </c>
      <c r="C114" s="7">
        <v>5.8737680000000001</v>
      </c>
      <c r="D114" s="7"/>
      <c r="E114" s="7">
        <v>7.0017719999999999</v>
      </c>
      <c r="F114" s="7">
        <v>4.988003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">
      <c r="A115" s="7" t="s">
        <v>86</v>
      </c>
      <c r="B115" s="7">
        <v>0.91251199999999999</v>
      </c>
      <c r="C115" s="7">
        <v>1.249609</v>
      </c>
      <c r="D115" s="7"/>
      <c r="E115" s="7">
        <v>1.2668429999999999</v>
      </c>
      <c r="F115" s="7">
        <v>1.3106040000000001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">
      <c r="A116" s="7" t="s">
        <v>23</v>
      </c>
      <c r="B116" s="7">
        <v>193.57424499999999</v>
      </c>
      <c r="C116" s="7">
        <v>130.37465700000001</v>
      </c>
      <c r="D116" s="7"/>
      <c r="E116" s="7">
        <v>174.036113</v>
      </c>
      <c r="F116" s="7">
        <v>137.356549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">
      <c r="A117" s="7" t="s">
        <v>25</v>
      </c>
      <c r="B117" s="7">
        <v>1.365963</v>
      </c>
      <c r="C117" s="7">
        <v>0.444768</v>
      </c>
      <c r="D117" s="7"/>
      <c r="E117" s="7">
        <v>1.0929850000000001</v>
      </c>
      <c r="F117" s="7">
        <v>0.563303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 t="s">
        <v>135</v>
      </c>
      <c r="L119" s="7"/>
      <c r="M119" s="7"/>
      <c r="N119" s="7" t="s">
        <v>136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66" t="s">
        <v>118</v>
      </c>
      <c r="L120" s="66" t="s">
        <v>118</v>
      </c>
      <c r="M120" s="66" t="s">
        <v>118</v>
      </c>
      <c r="N120" s="66" t="s">
        <v>118</v>
      </c>
      <c r="O120" s="66" t="s">
        <v>118</v>
      </c>
      <c r="P120" s="66" t="s">
        <v>118</v>
      </c>
      <c r="Q120" s="66"/>
      <c r="R120" s="66" t="s">
        <v>119</v>
      </c>
      <c r="S120" s="66" t="s">
        <v>119</v>
      </c>
      <c r="T120" s="66" t="s">
        <v>119</v>
      </c>
      <c r="U120" s="66" t="s">
        <v>119</v>
      </c>
      <c r="V120" s="66" t="s">
        <v>119</v>
      </c>
      <c r="W120" s="66" t="s">
        <v>119</v>
      </c>
      <c r="X120" s="7"/>
      <c r="Y120" s="7"/>
      <c r="Z120" s="7"/>
    </row>
    <row r="121" spans="1:26" ht="15.75" customHeight="1" x14ac:dyDescent="0.2">
      <c r="A121" s="7" t="s">
        <v>137</v>
      </c>
      <c r="B121" s="7"/>
      <c r="C121" s="7"/>
      <c r="D121" s="7"/>
      <c r="E121" s="7"/>
      <c r="F121" s="7"/>
      <c r="G121" s="7" t="s">
        <v>117</v>
      </c>
      <c r="H121" s="7"/>
      <c r="I121" s="7"/>
      <c r="J121" s="7"/>
      <c r="K121" s="66" t="s">
        <v>123</v>
      </c>
      <c r="L121" s="66" t="s">
        <v>123</v>
      </c>
      <c r="M121" s="66" t="s">
        <v>122</v>
      </c>
      <c r="N121" s="66" t="s">
        <v>122</v>
      </c>
      <c r="O121" s="66" t="s">
        <v>122</v>
      </c>
      <c r="P121" s="66" t="s">
        <v>122</v>
      </c>
      <c r="Q121" s="66"/>
      <c r="R121" s="66" t="s">
        <v>123</v>
      </c>
      <c r="S121" s="66" t="s">
        <v>123</v>
      </c>
      <c r="T121" s="66" t="s">
        <v>122</v>
      </c>
      <c r="U121" s="66" t="s">
        <v>122</v>
      </c>
      <c r="V121" s="66" t="s">
        <v>122</v>
      </c>
      <c r="W121" s="66" t="s">
        <v>122</v>
      </c>
      <c r="X121" s="7"/>
      <c r="Y121" s="7"/>
      <c r="Z121" s="7"/>
    </row>
    <row r="122" spans="1:26" ht="15.75" customHeight="1" x14ac:dyDescent="0.2">
      <c r="A122" s="7"/>
      <c r="B122" s="7" t="s">
        <v>116</v>
      </c>
      <c r="C122" s="7" t="s">
        <v>116</v>
      </c>
      <c r="D122" s="7"/>
      <c r="E122" s="7" t="s">
        <v>117</v>
      </c>
      <c r="F122" s="7" t="s">
        <v>94</v>
      </c>
      <c r="G122" s="7" t="s">
        <v>95</v>
      </c>
      <c r="H122" s="7" t="s">
        <v>138</v>
      </c>
      <c r="I122" s="7"/>
      <c r="J122" s="7" t="s">
        <v>139</v>
      </c>
      <c r="K122" s="66" t="s">
        <v>94</v>
      </c>
      <c r="L122" s="66" t="s">
        <v>95</v>
      </c>
      <c r="M122" s="66" t="s">
        <v>25</v>
      </c>
      <c r="N122" s="66" t="s">
        <v>126</v>
      </c>
      <c r="O122" s="66" t="s">
        <v>128</v>
      </c>
      <c r="P122" s="66" t="s">
        <v>129</v>
      </c>
      <c r="Q122" s="66"/>
      <c r="R122" s="66" t="s">
        <v>94</v>
      </c>
      <c r="S122" s="66" t="s">
        <v>95</v>
      </c>
      <c r="T122" s="66" t="s">
        <v>25</v>
      </c>
      <c r="U122" s="66" t="s">
        <v>126</v>
      </c>
      <c r="V122" s="66" t="s">
        <v>128</v>
      </c>
      <c r="W122" s="66" t="s">
        <v>129</v>
      </c>
      <c r="X122" s="7"/>
      <c r="Y122" s="7"/>
      <c r="Z122" s="7"/>
    </row>
    <row r="123" spans="1:26" ht="15.75" customHeight="1" x14ac:dyDescent="0.2">
      <c r="A123" s="7" t="s">
        <v>17</v>
      </c>
      <c r="B123" s="7" t="s">
        <v>118</v>
      </c>
      <c r="C123" s="7" t="s">
        <v>119</v>
      </c>
      <c r="D123" s="7"/>
      <c r="E123" s="7" t="s">
        <v>118</v>
      </c>
      <c r="F123" s="7" t="s">
        <v>119</v>
      </c>
      <c r="G123" s="7" t="s">
        <v>119</v>
      </c>
      <c r="H123" s="7" t="s">
        <v>119</v>
      </c>
      <c r="I123" s="7"/>
      <c r="J123" s="7" t="s">
        <v>140</v>
      </c>
      <c r="K123" s="110">
        <v>-0.108411656</v>
      </c>
      <c r="L123" s="110">
        <v>-0.80726502</v>
      </c>
      <c r="M123" s="110">
        <v>2.9937382000000001</v>
      </c>
      <c r="N123" s="110">
        <v>0.66825699999999999</v>
      </c>
      <c r="O123" s="110">
        <v>2.0419170000000002</v>
      </c>
      <c r="P123" s="110">
        <v>1.041177</v>
      </c>
      <c r="Q123" s="7"/>
      <c r="R123" s="110">
        <v>-0.68263669999999999</v>
      </c>
      <c r="S123" s="110">
        <v>-1.1555500000000001</v>
      </c>
      <c r="T123" s="110">
        <v>2.0148609999999998</v>
      </c>
      <c r="U123" s="110">
        <v>-0.12765000000000001</v>
      </c>
      <c r="V123" s="110">
        <v>0.56906999999999996</v>
      </c>
      <c r="W123" s="110">
        <v>-0.50722</v>
      </c>
      <c r="X123" s="7"/>
      <c r="Y123" s="7"/>
      <c r="Z123" s="7"/>
    </row>
    <row r="124" spans="1:26" ht="15.75" customHeight="1" x14ac:dyDescent="0.2">
      <c r="A124" s="7" t="s">
        <v>81</v>
      </c>
      <c r="B124" s="7">
        <v>-2.8451255775811002</v>
      </c>
      <c r="C124" s="7">
        <v>-3.2328176774658002</v>
      </c>
      <c r="D124" s="7"/>
      <c r="E124" s="7">
        <v>-2.8451255775811002</v>
      </c>
      <c r="F124" s="7">
        <v>-3.2328176774658002</v>
      </c>
      <c r="G124" s="7">
        <v>-3.2328176774657749</v>
      </c>
      <c r="H124" s="7">
        <v>-3.2328176774657749</v>
      </c>
      <c r="I124" s="7"/>
      <c r="J124" s="7" t="s">
        <v>81</v>
      </c>
      <c r="K124" s="110">
        <v>0</v>
      </c>
      <c r="L124" s="110">
        <v>0</v>
      </c>
      <c r="M124" s="110">
        <v>0</v>
      </c>
      <c r="N124" s="110">
        <v>0</v>
      </c>
      <c r="O124" s="110">
        <v>0</v>
      </c>
      <c r="P124" s="110">
        <v>0</v>
      </c>
      <c r="Q124" s="110"/>
      <c r="R124" s="110">
        <v>0</v>
      </c>
      <c r="S124" s="110">
        <v>0</v>
      </c>
      <c r="T124" s="110">
        <v>0</v>
      </c>
      <c r="U124" s="110">
        <v>0</v>
      </c>
      <c r="V124" s="110">
        <v>0</v>
      </c>
      <c r="W124" s="110">
        <v>0</v>
      </c>
      <c r="X124" s="7"/>
      <c r="Y124" s="7"/>
      <c r="Z124" s="7"/>
    </row>
    <row r="125" spans="1:26" ht="15.75" customHeight="1" x14ac:dyDescent="0.2">
      <c r="A125" s="7" t="s">
        <v>18</v>
      </c>
      <c r="B125" s="7">
        <f t="shared" ref="B125:B131" si="6">(B98-B111)/C111</f>
        <v>-7.7015126974414844E-2</v>
      </c>
      <c r="C125" s="7">
        <f t="shared" ref="C125:C131" si="7">(B98-E111)/F111</f>
        <v>9.9910008802971587E-2</v>
      </c>
      <c r="D125" s="7"/>
      <c r="E125" s="7">
        <f t="shared" ref="E125:E131" si="8">(C98-B111)/C111</f>
        <v>-7.5593193336351963</v>
      </c>
      <c r="F125" s="7">
        <f t="shared" ref="F125:F126" si="9">(C98-E111)/F111</f>
        <v>-7.0628008304116356</v>
      </c>
      <c r="G125" s="7">
        <f t="shared" ref="G125:G128" si="10">(A162-E111)/F111</f>
        <v>-1.4813961533928681</v>
      </c>
      <c r="H125" s="7">
        <f t="shared" ref="H125:H126" si="11">(C98-E111)/F111</f>
        <v>-7.0628008304116356</v>
      </c>
      <c r="I125" s="7"/>
      <c r="J125" s="7" t="s">
        <v>18</v>
      </c>
      <c r="K125" s="110">
        <v>-1.1613780000000001E-2</v>
      </c>
      <c r="L125" s="110">
        <v>5.6534359999999999E-2</v>
      </c>
      <c r="M125" s="110">
        <v>0</v>
      </c>
      <c r="N125" s="110">
        <v>0</v>
      </c>
      <c r="O125" s="110">
        <v>0</v>
      </c>
      <c r="P125" s="110">
        <v>0</v>
      </c>
      <c r="Q125" s="110"/>
      <c r="R125" s="110">
        <v>1.95233E-3</v>
      </c>
      <c r="S125" s="110">
        <v>7.6436841000000005E-2</v>
      </c>
      <c r="T125" s="110">
        <v>5.2415999999999997E-2</v>
      </c>
      <c r="U125" s="110">
        <v>5.8140999999999998E-2</v>
      </c>
      <c r="V125" s="110">
        <v>0</v>
      </c>
      <c r="W125" s="110">
        <v>8.1309999999999993E-2</v>
      </c>
      <c r="X125" s="7"/>
      <c r="Y125" s="7"/>
      <c r="Z125" s="7"/>
    </row>
    <row r="126" spans="1:26" ht="15.75" customHeight="1" x14ac:dyDescent="0.2">
      <c r="A126" s="7" t="s">
        <v>20</v>
      </c>
      <c r="B126" s="7">
        <f t="shared" si="6"/>
        <v>-0.61646190877384444</v>
      </c>
      <c r="C126" s="7">
        <f t="shared" si="7"/>
        <v>-0.49454380090792549</v>
      </c>
      <c r="D126" s="7"/>
      <c r="E126" s="7">
        <f t="shared" si="8"/>
        <v>-12.330923579055259</v>
      </c>
      <c r="F126" s="7">
        <f t="shared" si="9"/>
        <v>-13.588081817995558</v>
      </c>
      <c r="G126" s="7">
        <f t="shared" si="10"/>
        <v>-0.15977883491784745</v>
      </c>
      <c r="H126" s="7">
        <f t="shared" si="11"/>
        <v>-13.588081817995558</v>
      </c>
      <c r="I126" s="7"/>
      <c r="J126" s="7" t="s">
        <v>20</v>
      </c>
      <c r="K126" s="110">
        <v>3.41764E-3</v>
      </c>
      <c r="L126" s="110">
        <v>1.7858354999999999E-2</v>
      </c>
      <c r="M126" s="110">
        <v>0</v>
      </c>
      <c r="N126" s="110">
        <v>0.16520599999999999</v>
      </c>
      <c r="O126" s="110">
        <v>0</v>
      </c>
      <c r="P126" s="110">
        <v>0</v>
      </c>
      <c r="Q126" s="110"/>
      <c r="R126" s="110">
        <v>-8.20391E-3</v>
      </c>
      <c r="S126" s="110">
        <v>3.8947849E-2</v>
      </c>
      <c r="T126" s="110">
        <v>0</v>
      </c>
      <c r="U126" s="110">
        <v>8.9543999999999999E-2</v>
      </c>
      <c r="V126" s="110">
        <v>8.1895999999999997E-2</v>
      </c>
      <c r="W126" s="110">
        <v>7.0102999999999999E-2</v>
      </c>
      <c r="X126" s="7"/>
      <c r="Y126" s="7"/>
      <c r="Z126" s="7"/>
    </row>
    <row r="127" spans="1:26" ht="15.75" customHeight="1" x14ac:dyDescent="0.2">
      <c r="A127" s="7" t="s">
        <v>21</v>
      </c>
      <c r="B127" s="7">
        <f t="shared" si="6"/>
        <v>-0.62872759518480892</v>
      </c>
      <c r="C127" s="7">
        <f t="shared" si="7"/>
        <v>-0.45925795873290171</v>
      </c>
      <c r="D127" s="7"/>
      <c r="E127" s="7">
        <f t="shared" si="8"/>
        <v>-3.2520232826447284</v>
      </c>
      <c r="F127" s="7">
        <f t="shared" ref="F127:F131" si="12">(A164-E113)/F113</f>
        <v>-3.6317683725938927</v>
      </c>
      <c r="G127" s="7">
        <f t="shared" si="10"/>
        <v>-3.6317683725938927</v>
      </c>
      <c r="H127" s="7">
        <f t="shared" ref="H127:H128" si="13">(A164-E113)/F113</f>
        <v>-3.6317683725938927</v>
      </c>
      <c r="I127" s="7"/>
      <c r="J127" s="7" t="s">
        <v>21</v>
      </c>
      <c r="K127" s="110">
        <v>5.4282909999999997E-2</v>
      </c>
      <c r="L127" s="110">
        <v>-3.8446849999999998E-2</v>
      </c>
      <c r="M127" s="110">
        <v>0.15247520000000001</v>
      </c>
      <c r="N127" s="110">
        <v>0</v>
      </c>
      <c r="O127" s="110">
        <v>-9.7540000000000002E-2</v>
      </c>
      <c r="P127" s="110">
        <v>-0.10224</v>
      </c>
      <c r="Q127" s="110"/>
      <c r="R127" s="110">
        <v>4.1543040000000002E-3</v>
      </c>
      <c r="S127" s="110">
        <v>1.368326E-3</v>
      </c>
      <c r="T127" s="110">
        <v>0.169401</v>
      </c>
      <c r="U127" s="110">
        <v>-4.8619999999999997E-2</v>
      </c>
      <c r="V127" s="110">
        <v>-7.2480000000000003E-2</v>
      </c>
      <c r="W127" s="110">
        <v>-6.6309999999999994E-2</v>
      </c>
      <c r="X127" s="7"/>
      <c r="Y127" s="7"/>
      <c r="Z127" s="7"/>
    </row>
    <row r="128" spans="1:26" ht="15.75" customHeight="1" x14ac:dyDescent="0.2">
      <c r="A128" s="7" t="s">
        <v>22</v>
      </c>
      <c r="B128" s="7">
        <f t="shared" si="6"/>
        <v>-0.39952548347159772</v>
      </c>
      <c r="C128" s="7">
        <f t="shared" si="7"/>
        <v>-0.2008362865860345</v>
      </c>
      <c r="D128" s="7"/>
      <c r="E128" s="7">
        <f t="shared" si="8"/>
        <v>-1.4210162880113753</v>
      </c>
      <c r="F128" s="7">
        <f t="shared" si="12"/>
        <v>-1.4037224917466971</v>
      </c>
      <c r="G128" s="7">
        <f t="shared" si="10"/>
        <v>-1.4037224917466971</v>
      </c>
      <c r="H128" s="7">
        <f t="shared" si="13"/>
        <v>-1.4037224917466971</v>
      </c>
      <c r="I128" s="7"/>
      <c r="J128" s="7" t="s">
        <v>22</v>
      </c>
      <c r="K128" s="110">
        <v>2.292342E-2</v>
      </c>
      <c r="L128" s="110">
        <v>-2.1005159999999998E-2</v>
      </c>
      <c r="M128" s="110">
        <v>0</v>
      </c>
      <c r="N128" s="110">
        <v>0.15070700000000001</v>
      </c>
      <c r="O128" s="110">
        <v>0</v>
      </c>
      <c r="P128" s="110">
        <v>0</v>
      </c>
      <c r="Q128" s="110"/>
      <c r="R128" s="110">
        <v>2.5949698E-2</v>
      </c>
      <c r="S128" s="110">
        <v>-6.8736999999999999E-3</v>
      </c>
      <c r="T128" s="110">
        <v>2.1579999999999998E-2</v>
      </c>
      <c r="U128" s="110">
        <v>0.135542</v>
      </c>
      <c r="V128" s="110">
        <v>0</v>
      </c>
      <c r="W128" s="110">
        <v>0</v>
      </c>
      <c r="X128" s="7"/>
      <c r="Y128" s="7"/>
      <c r="Z128" s="7"/>
    </row>
    <row r="129" spans="1:26" ht="15.75" customHeight="1" x14ac:dyDescent="0.2">
      <c r="A129" s="7" t="s">
        <v>86</v>
      </c>
      <c r="B129" s="7">
        <f t="shared" si="6"/>
        <v>0.87026261814695638</v>
      </c>
      <c r="C129" s="7">
        <f t="shared" si="7"/>
        <v>0.55940390842695431</v>
      </c>
      <c r="D129" s="7"/>
      <c r="E129" s="7">
        <f t="shared" si="8"/>
        <v>0.87026261814695638</v>
      </c>
      <c r="F129" s="7">
        <f t="shared" si="12"/>
        <v>0.55940390842695431</v>
      </c>
      <c r="G129" s="7">
        <f>(C102-E115)/F115</f>
        <v>0.55940390842695431</v>
      </c>
      <c r="H129" s="7">
        <f>(C102-E115)/F115</f>
        <v>0.55940390842695431</v>
      </c>
      <c r="I129" s="7"/>
      <c r="J129" s="7" t="s">
        <v>86</v>
      </c>
      <c r="K129" s="110">
        <v>1.4395079999999999E-2</v>
      </c>
      <c r="L129" s="110">
        <v>-2.7356559999999999E-2</v>
      </c>
      <c r="M129" s="110">
        <v>-3.4762000000000001E-2</v>
      </c>
      <c r="N129" s="110">
        <v>0</v>
      </c>
      <c r="O129" s="110">
        <v>0.15329100000000001</v>
      </c>
      <c r="P129" s="110">
        <v>0</v>
      </c>
      <c r="Q129" s="110"/>
      <c r="R129" s="110">
        <v>-8.9918789999999995E-3</v>
      </c>
      <c r="S129" s="110">
        <v>-1.035001E-2</v>
      </c>
      <c r="T129" s="110">
        <v>2.2391999999999999E-2</v>
      </c>
      <c r="U129" s="110">
        <v>0</v>
      </c>
      <c r="V129" s="110">
        <v>7.3394000000000001E-2</v>
      </c>
      <c r="W129" s="110">
        <v>8.4501000000000007E-2</v>
      </c>
      <c r="X129" s="7"/>
      <c r="Y129" s="7"/>
      <c r="Z129" s="7"/>
    </row>
    <row r="130" spans="1:26" ht="15.75" customHeight="1" x14ac:dyDescent="0.2">
      <c r="A130" s="7" t="s">
        <v>23</v>
      </c>
      <c r="B130" s="7">
        <f t="shared" si="6"/>
        <v>-1.1779455343073306</v>
      </c>
      <c r="C130" s="7">
        <f t="shared" si="7"/>
        <v>-0.97582615445587528</v>
      </c>
      <c r="D130" s="7"/>
      <c r="E130" s="7">
        <f t="shared" si="8"/>
        <v>-1.4770834258072101</v>
      </c>
      <c r="F130" s="7">
        <f t="shared" si="12"/>
        <v>-1.2597587392793335</v>
      </c>
      <c r="G130" s="7">
        <f t="shared" ref="G130:G131" si="14">(A167-E116)/F116</f>
        <v>-1.2597587392793335</v>
      </c>
      <c r="H130" s="7">
        <f t="shared" ref="H130:H131" si="15">(A167-E116)/F116</f>
        <v>-1.2597587392793335</v>
      </c>
      <c r="I130" s="7"/>
      <c r="J130" s="7" t="s">
        <v>23</v>
      </c>
      <c r="K130" s="110">
        <v>1.785987E-2</v>
      </c>
      <c r="L130" s="110">
        <v>1.9335750000000001E-3</v>
      </c>
      <c r="M130" s="110">
        <v>7.2314100000000006E-2</v>
      </c>
      <c r="N130" s="110">
        <v>0</v>
      </c>
      <c r="O130" s="110">
        <v>-0.18010999999999999</v>
      </c>
      <c r="P130" s="110">
        <v>0</v>
      </c>
      <c r="Q130" s="110"/>
      <c r="R130" s="110">
        <v>5.0086115E-2</v>
      </c>
      <c r="S130" s="110">
        <v>0.11690368199999999</v>
      </c>
      <c r="T130" s="110">
        <v>0.140432</v>
      </c>
      <c r="U130" s="110">
        <v>6.0077999999999999E-2</v>
      </c>
      <c r="V130" s="110">
        <v>-4.4720000000000003E-2</v>
      </c>
      <c r="W130" s="110">
        <v>0</v>
      </c>
      <c r="X130" s="7"/>
      <c r="Y130" s="7"/>
      <c r="Z130" s="7"/>
    </row>
    <row r="131" spans="1:26" ht="15.75" customHeight="1" x14ac:dyDescent="0.2">
      <c r="A131" s="7" t="s">
        <v>25</v>
      </c>
      <c r="B131" s="7">
        <f t="shared" si="6"/>
        <v>-0.82281773868623653</v>
      </c>
      <c r="C131" s="7">
        <f t="shared" si="7"/>
        <v>-0.16507101861697895</v>
      </c>
      <c r="D131" s="7"/>
      <c r="E131" s="7">
        <f t="shared" si="8"/>
        <v>-3.0711809302827544</v>
      </c>
      <c r="F131" s="7">
        <f t="shared" si="12"/>
        <v>-1.9403145376467019</v>
      </c>
      <c r="G131" s="7">
        <f t="shared" si="14"/>
        <v>-1.9403145376467019</v>
      </c>
      <c r="H131" s="7">
        <f t="shared" si="15"/>
        <v>-1.9403145376467019</v>
      </c>
      <c r="I131" s="7"/>
      <c r="J131" s="7" t="s">
        <v>25</v>
      </c>
      <c r="K131" s="110">
        <v>0</v>
      </c>
      <c r="L131" s="110">
        <v>0</v>
      </c>
      <c r="M131" s="110">
        <v>0.12359489999999999</v>
      </c>
      <c r="N131" s="110">
        <v>0</v>
      </c>
      <c r="O131" s="110">
        <v>0</v>
      </c>
      <c r="P131" s="110">
        <v>0</v>
      </c>
      <c r="Q131" s="110"/>
      <c r="R131" s="110">
        <v>0</v>
      </c>
      <c r="S131" s="110">
        <v>0</v>
      </c>
      <c r="T131" s="110">
        <v>0.145341</v>
      </c>
      <c r="U131" s="110">
        <v>0</v>
      </c>
      <c r="V131" s="110">
        <v>0</v>
      </c>
      <c r="W131" s="110">
        <v>0</v>
      </c>
      <c r="X131" s="7"/>
      <c r="Y131" s="7"/>
      <c r="Z131" s="7"/>
    </row>
    <row r="132" spans="1:26" ht="15.75" customHeight="1" x14ac:dyDescent="0.2">
      <c r="A132" s="7" t="s">
        <v>141</v>
      </c>
      <c r="B132" s="7">
        <f t="shared" ref="B132:C132" si="16">(B124*B124)</f>
        <v>8.0947395522061889</v>
      </c>
      <c r="C132" s="7">
        <f t="shared" si="16"/>
        <v>10.451110135735371</v>
      </c>
      <c r="D132" s="7"/>
      <c r="E132" s="7">
        <f t="shared" ref="E132:H132" si="17">(E124*E124)</f>
        <v>8.0947395522061889</v>
      </c>
      <c r="F132" s="7">
        <f t="shared" si="17"/>
        <v>10.451110135735371</v>
      </c>
      <c r="G132" s="7">
        <f t="shared" si="17"/>
        <v>10.451110135735206</v>
      </c>
      <c r="H132" s="7">
        <f t="shared" si="17"/>
        <v>10.451110135735206</v>
      </c>
      <c r="I132" s="7"/>
      <c r="J132" s="7" t="s">
        <v>141</v>
      </c>
      <c r="K132" s="110">
        <v>0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/>
      <c r="R132" s="110">
        <v>0</v>
      </c>
      <c r="S132" s="110">
        <v>0</v>
      </c>
      <c r="T132" s="110">
        <v>0</v>
      </c>
      <c r="U132" s="110">
        <v>0</v>
      </c>
      <c r="V132" s="110">
        <v>0</v>
      </c>
      <c r="W132" s="110">
        <v>0</v>
      </c>
      <c r="X132" s="7"/>
      <c r="Y132" s="7"/>
      <c r="Z132" s="7"/>
    </row>
    <row r="133" spans="1:26" ht="15.75" customHeight="1" x14ac:dyDescent="0.2">
      <c r="A133" s="7" t="s">
        <v>142</v>
      </c>
      <c r="B133" s="7">
        <f t="shared" ref="B133:C133" si="18">(B124*B125)</f>
        <v>0.21911770761556379</v>
      </c>
      <c r="C133" s="7">
        <f t="shared" si="18"/>
        <v>-0.32299084261401023</v>
      </c>
      <c r="D133" s="7"/>
      <c r="E133" s="7">
        <f t="shared" ref="E133:H133" si="19">(E124*E125)</f>
        <v>21.507212785228816</v>
      </c>
      <c r="F133" s="7">
        <f t="shared" si="19"/>
        <v>22.832747376974869</v>
      </c>
      <c r="G133" s="7">
        <f t="shared" si="19"/>
        <v>4.7890836720182648</v>
      </c>
      <c r="H133" s="7">
        <f t="shared" si="19"/>
        <v>22.832747376974691</v>
      </c>
      <c r="I133" s="7"/>
      <c r="J133" s="7" t="s">
        <v>142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0</v>
      </c>
      <c r="Q133" s="110"/>
      <c r="R133" s="110">
        <v>0</v>
      </c>
      <c r="S133" s="110">
        <v>0</v>
      </c>
      <c r="T133" s="110">
        <v>0</v>
      </c>
      <c r="U133" s="110">
        <v>0</v>
      </c>
      <c r="V133" s="110">
        <v>0</v>
      </c>
      <c r="W133" s="110">
        <v>0</v>
      </c>
      <c r="X133" s="7"/>
      <c r="Y133" s="7"/>
      <c r="Z133" s="7"/>
    </row>
    <row r="134" spans="1:26" ht="15.75" customHeight="1" x14ac:dyDescent="0.2">
      <c r="A134" s="7" t="s">
        <v>143</v>
      </c>
      <c r="B134" s="7">
        <f t="shared" ref="B134:C134" si="20">(B124*B129)</f>
        <v>-2.4760064341025996</v>
      </c>
      <c r="C134" s="7">
        <f t="shared" si="20"/>
        <v>-1.8084508440061176</v>
      </c>
      <c r="D134" s="7"/>
      <c r="E134" s="7">
        <f t="shared" ref="E134:H134" si="21">(E124*E129)</f>
        <v>-2.4760064341025996</v>
      </c>
      <c r="F134" s="7">
        <f t="shared" si="21"/>
        <v>-1.8084508440061176</v>
      </c>
      <c r="G134" s="7">
        <f t="shared" si="21"/>
        <v>-1.8084508440061033</v>
      </c>
      <c r="H134" s="7">
        <f t="shared" si="21"/>
        <v>-1.8084508440061033</v>
      </c>
      <c r="I134" s="7"/>
      <c r="J134" s="7" t="s">
        <v>143</v>
      </c>
      <c r="K134" s="110">
        <v>0</v>
      </c>
      <c r="L134" s="110">
        <v>0</v>
      </c>
      <c r="M134" s="110">
        <v>0</v>
      </c>
      <c r="N134" s="110">
        <v>0</v>
      </c>
      <c r="O134" s="110">
        <v>0</v>
      </c>
      <c r="P134" s="110">
        <v>0</v>
      </c>
      <c r="Q134" s="110"/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7"/>
      <c r="Y134" s="7"/>
      <c r="Z134" s="7"/>
    </row>
    <row r="135" spans="1:26" ht="15.75" customHeight="1" x14ac:dyDescent="0.2">
      <c r="A135" s="7" t="s">
        <v>144</v>
      </c>
      <c r="B135" s="7">
        <f t="shared" ref="B135:C135" si="22">(B125*B125)</f>
        <v>5.931329782885241E-3</v>
      </c>
      <c r="C135" s="7">
        <f t="shared" si="22"/>
        <v>9.9820098590098598E-3</v>
      </c>
      <c r="D135" s="7"/>
      <c r="E135" s="7">
        <f t="shared" ref="E135:H135" si="23">(E125*E125)</f>
        <v>57.143308787870865</v>
      </c>
      <c r="F135" s="7">
        <f t="shared" si="23"/>
        <v>49.883155570063288</v>
      </c>
      <c r="G135" s="7">
        <f t="shared" si="23"/>
        <v>2.1945345632871862</v>
      </c>
      <c r="H135" s="7">
        <f t="shared" si="23"/>
        <v>49.883155570063288</v>
      </c>
      <c r="I135" s="7"/>
      <c r="J135" s="7" t="s">
        <v>144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/>
      <c r="R135" s="110">
        <v>0</v>
      </c>
      <c r="S135" s="110">
        <v>2.5807976999999999E-2</v>
      </c>
      <c r="T135" s="110">
        <v>0</v>
      </c>
      <c r="U135" s="110">
        <v>0</v>
      </c>
      <c r="V135" s="110">
        <v>0</v>
      </c>
      <c r="W135" s="110">
        <v>0</v>
      </c>
      <c r="X135" s="7"/>
      <c r="Y135" s="7"/>
      <c r="Z135" s="7"/>
    </row>
    <row r="136" spans="1:26" ht="15.75" customHeight="1" x14ac:dyDescent="0.2">
      <c r="A136" s="7" t="s">
        <v>145</v>
      </c>
      <c r="B136" s="7">
        <f t="shared" ref="B136:C136" si="24">(B125*B126)</f>
        <v>4.747689217910777E-2</v>
      </c>
      <c r="C136" s="7">
        <f t="shared" si="24"/>
        <v>-4.9409875502165863E-2</v>
      </c>
      <c r="D136" s="7"/>
      <c r="E136" s="7">
        <f t="shared" ref="E136:H136" si="25">(E125*E126)</f>
        <v>93.213389012730531</v>
      </c>
      <c r="F136" s="7">
        <f t="shared" si="25"/>
        <v>95.969915547840273</v>
      </c>
      <c r="G136" s="7">
        <f t="shared" si="25"/>
        <v>0.23669575144089328</v>
      </c>
      <c r="H136" s="7">
        <f t="shared" si="25"/>
        <v>95.969915547840273</v>
      </c>
      <c r="I136" s="7"/>
      <c r="J136" s="7" t="s">
        <v>145</v>
      </c>
      <c r="K136" s="110">
        <v>8.5768200000000006E-3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110"/>
      <c r="R136" s="110">
        <v>0</v>
      </c>
      <c r="S136" s="110">
        <v>0</v>
      </c>
      <c r="T136" s="110">
        <v>0</v>
      </c>
      <c r="U136" s="110">
        <v>0</v>
      </c>
      <c r="V136" s="110">
        <v>0</v>
      </c>
      <c r="W136" s="110">
        <v>0</v>
      </c>
      <c r="X136" s="7"/>
      <c r="Y136" s="7"/>
      <c r="Z136" s="7"/>
    </row>
    <row r="137" spans="1:26" ht="15.75" customHeight="1" x14ac:dyDescent="0.2">
      <c r="A137" s="7" t="s">
        <v>146</v>
      </c>
      <c r="B137" s="7">
        <f t="shared" ref="B137:C137" si="26">(B125*B129)</f>
        <v>-6.7023386037674548E-2</v>
      </c>
      <c r="C137" s="7">
        <f t="shared" si="26"/>
        <v>5.5890049415353714E-2</v>
      </c>
      <c r="D137" s="7"/>
      <c r="E137" s="7">
        <f t="shared" ref="E137:H137" si="27">(E125*E129)</f>
        <v>-6.5785930346982715</v>
      </c>
      <c r="F137" s="7">
        <f t="shared" si="27"/>
        <v>-3.9509583889734077</v>
      </c>
      <c r="G137" s="7">
        <f t="shared" si="27"/>
        <v>-0.82869879813662639</v>
      </c>
      <c r="H137" s="7">
        <f t="shared" si="27"/>
        <v>-3.9509583889734077</v>
      </c>
      <c r="I137" s="7"/>
      <c r="J137" s="7" t="s">
        <v>146</v>
      </c>
      <c r="K137" s="110">
        <v>0</v>
      </c>
      <c r="L137" s="110">
        <v>0</v>
      </c>
      <c r="M137" s="110">
        <v>0</v>
      </c>
      <c r="N137" s="110">
        <v>0</v>
      </c>
      <c r="O137" s="110">
        <v>0</v>
      </c>
      <c r="P137" s="110">
        <v>0</v>
      </c>
      <c r="Q137" s="110"/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7"/>
      <c r="Y137" s="7"/>
      <c r="Z137" s="7"/>
    </row>
    <row r="138" spans="1:26" ht="15.75" customHeight="1" x14ac:dyDescent="0.2">
      <c r="A138" s="7" t="s">
        <v>147</v>
      </c>
      <c r="B138" s="7">
        <f t="shared" ref="B138:C138" si="28">(B126*B126)</f>
        <v>0.38002528496909171</v>
      </c>
      <c r="C138" s="7">
        <f t="shared" si="28"/>
        <v>0.24457357101645785</v>
      </c>
      <c r="D138" s="7"/>
      <c r="E138" s="7">
        <f t="shared" ref="E138:H138" si="29">(E126*E126)</f>
        <v>152.05167631250097</v>
      </c>
      <c r="F138" s="7">
        <f t="shared" si="29"/>
        <v>184.63596749254148</v>
      </c>
      <c r="G138" s="7">
        <f t="shared" si="29"/>
        <v>2.5529276087704746E-2</v>
      </c>
      <c r="H138" s="7">
        <f t="shared" si="29"/>
        <v>184.63596749254148</v>
      </c>
      <c r="I138" s="7"/>
      <c r="J138" s="7" t="s">
        <v>147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/>
      <c r="R138" s="110">
        <v>0</v>
      </c>
      <c r="S138" s="110">
        <v>1.8209586E-2</v>
      </c>
      <c r="T138" s="110">
        <v>0</v>
      </c>
      <c r="U138" s="110">
        <v>0</v>
      </c>
      <c r="V138" s="110">
        <v>0</v>
      </c>
      <c r="W138" s="110">
        <v>0</v>
      </c>
      <c r="X138" s="7"/>
      <c r="Y138" s="7"/>
      <c r="Z138" s="7"/>
    </row>
    <row r="139" spans="1:26" ht="15.75" customHeight="1" x14ac:dyDescent="0.2">
      <c r="A139" s="7" t="s">
        <v>148</v>
      </c>
      <c r="B139" s="7">
        <f t="shared" ref="B139:C139" si="30">(B126*B129)</f>
        <v>-0.53648375471739607</v>
      </c>
      <c r="C139" s="7">
        <f t="shared" si="30"/>
        <v>-0.2766497351162151</v>
      </c>
      <c r="D139" s="7"/>
      <c r="E139" s="7">
        <f t="shared" ref="E139:H139" si="31">(E126*E129)</f>
        <v>-10.731141838078667</v>
      </c>
      <c r="F139" s="7">
        <f t="shared" si="31"/>
        <v>-7.6012260770119502</v>
      </c>
      <c r="G139" s="7">
        <f t="shared" si="31"/>
        <v>-8.9380904736948985E-2</v>
      </c>
      <c r="H139" s="7">
        <f t="shared" si="31"/>
        <v>-7.6012260770119502</v>
      </c>
      <c r="I139" s="7"/>
      <c r="J139" s="7" t="s">
        <v>148</v>
      </c>
      <c r="K139" s="110">
        <v>0</v>
      </c>
      <c r="L139" s="110">
        <v>0</v>
      </c>
      <c r="M139" s="110">
        <v>0</v>
      </c>
      <c r="N139" s="110">
        <v>0</v>
      </c>
      <c r="O139" s="110">
        <v>0</v>
      </c>
      <c r="P139" s="110">
        <v>0</v>
      </c>
      <c r="Q139" s="110"/>
      <c r="R139" s="110">
        <v>0</v>
      </c>
      <c r="S139" s="110">
        <v>1.5107193E-2</v>
      </c>
      <c r="T139" s="110">
        <v>0</v>
      </c>
      <c r="U139" s="110">
        <v>0</v>
      </c>
      <c r="V139" s="110">
        <v>0</v>
      </c>
      <c r="W139" s="110">
        <v>0</v>
      </c>
      <c r="X139" s="7"/>
      <c r="Y139" s="7"/>
      <c r="Z139" s="7"/>
    </row>
    <row r="140" spans="1:26" ht="15.75" customHeight="1" x14ac:dyDescent="0.2">
      <c r="A140" s="7" t="s">
        <v>149</v>
      </c>
      <c r="B140" s="7">
        <f t="shared" ref="B140:C140" si="32">(B126*B130)</f>
        <v>0.72615855251072314</v>
      </c>
      <c r="C140" s="7">
        <f t="shared" si="32"/>
        <v>0.48258877544997292</v>
      </c>
      <c r="D140" s="7"/>
      <c r="E140" s="7">
        <f t="shared" ref="E140:H140" si="33">(E126*E130)</f>
        <v>18.213802843517847</v>
      </c>
      <c r="F140" s="7">
        <f t="shared" si="33"/>
        <v>17.117704820262517</v>
      </c>
      <c r="G140" s="7">
        <f t="shared" si="33"/>
        <v>0.20128278363962823</v>
      </c>
      <c r="H140" s="7">
        <f t="shared" si="33"/>
        <v>17.117704820262517</v>
      </c>
      <c r="I140" s="7"/>
      <c r="J140" s="7" t="s">
        <v>149</v>
      </c>
      <c r="K140" s="110">
        <v>0</v>
      </c>
      <c r="L140" s="110">
        <v>0</v>
      </c>
      <c r="M140" s="110">
        <v>0</v>
      </c>
      <c r="N140" s="110">
        <v>0</v>
      </c>
      <c r="O140" s="110">
        <v>0</v>
      </c>
      <c r="P140" s="110">
        <v>0</v>
      </c>
      <c r="Q140" s="110"/>
      <c r="R140" s="110">
        <v>0</v>
      </c>
      <c r="S140" s="110">
        <v>0</v>
      </c>
      <c r="T140" s="110">
        <v>0</v>
      </c>
      <c r="U140" s="110">
        <v>0</v>
      </c>
      <c r="V140" s="110">
        <v>0</v>
      </c>
      <c r="W140" s="110">
        <v>0</v>
      </c>
      <c r="X140" s="7"/>
      <c r="Y140" s="7"/>
      <c r="Z140" s="7"/>
    </row>
    <row r="141" spans="1:26" ht="15.75" customHeight="1" x14ac:dyDescent="0.2">
      <c r="A141" s="7" t="s">
        <v>150</v>
      </c>
      <c r="B141" s="7">
        <f t="shared" ref="B141:C141" si="34">(B126*B127)</f>
        <v>0.38758661342641626</v>
      </c>
      <c r="C141" s="7">
        <f t="shared" si="34"/>
        <v>0.22712317650898439</v>
      </c>
      <c r="D141" s="7"/>
      <c r="E141" s="7">
        <f t="shared" ref="E141:H141" si="35">(E126*E127)</f>
        <v>40.100450575600568</v>
      </c>
      <c r="F141" s="7">
        <f t="shared" si="35"/>
        <v>49.34876579081439</v>
      </c>
      <c r="G141" s="7">
        <f t="shared" si="35"/>
        <v>0.58027971926453903</v>
      </c>
      <c r="H141" s="7">
        <f t="shared" si="35"/>
        <v>49.34876579081439</v>
      </c>
      <c r="I141" s="7"/>
      <c r="J141" s="7" t="s">
        <v>150</v>
      </c>
      <c r="K141" s="110">
        <v>-9.7818000000000002E-3</v>
      </c>
      <c r="L141" s="110">
        <v>1.8225949000000002E-2</v>
      </c>
      <c r="M141" s="110">
        <v>0</v>
      </c>
      <c r="N141" s="110">
        <v>0</v>
      </c>
      <c r="O141" s="110">
        <v>0</v>
      </c>
      <c r="P141" s="110">
        <v>0</v>
      </c>
      <c r="Q141" s="110"/>
      <c r="R141" s="110">
        <v>0</v>
      </c>
      <c r="S141" s="110">
        <v>1.2076013E-2</v>
      </c>
      <c r="T141" s="110">
        <v>0</v>
      </c>
      <c r="U141" s="110">
        <v>0</v>
      </c>
      <c r="V141" s="110">
        <v>0</v>
      </c>
      <c r="W141" s="110">
        <v>0</v>
      </c>
      <c r="X141" s="7"/>
      <c r="Y141" s="7"/>
      <c r="Z141" s="7"/>
    </row>
    <row r="142" spans="1:26" ht="15.75" customHeight="1" x14ac:dyDescent="0.2">
      <c r="A142" s="7" t="s">
        <v>151</v>
      </c>
      <c r="B142" s="7">
        <f t="shared" ref="B142:C142" si="36">(B127*B127)</f>
        <v>0.39529838894687297</v>
      </c>
      <c r="C142" s="7">
        <f t="shared" si="36"/>
        <v>0.21091787265951165</v>
      </c>
      <c r="D142" s="7"/>
      <c r="E142" s="7">
        <f t="shared" ref="E142:H142" si="37">(E127*E127)</f>
        <v>10.575655430863396</v>
      </c>
      <c r="F142" s="7">
        <f t="shared" si="37"/>
        <v>13.189741512173292</v>
      </c>
      <c r="G142" s="7">
        <f t="shared" si="37"/>
        <v>13.189741512173292</v>
      </c>
      <c r="H142" s="7">
        <f t="shared" si="37"/>
        <v>13.189741512173292</v>
      </c>
      <c r="I142" s="7"/>
      <c r="J142" s="7" t="s">
        <v>151</v>
      </c>
      <c r="K142" s="110">
        <v>0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110"/>
      <c r="R142" s="110">
        <v>0</v>
      </c>
      <c r="S142" s="110">
        <v>-1.197286E-2</v>
      </c>
      <c r="T142" s="110">
        <v>0</v>
      </c>
      <c r="U142" s="110">
        <v>0</v>
      </c>
      <c r="V142" s="110">
        <v>0</v>
      </c>
      <c r="W142" s="110">
        <v>0</v>
      </c>
      <c r="X142" s="7"/>
      <c r="Y142" s="7"/>
      <c r="Z142" s="7"/>
    </row>
    <row r="143" spans="1:26" ht="15.75" customHeight="1" x14ac:dyDescent="0.2">
      <c r="A143" s="7" t="s">
        <v>152</v>
      </c>
      <c r="B143" s="7">
        <f t="shared" ref="B143:C143" si="38">(B127*B128)</f>
        <v>0.25119269643814574</v>
      </c>
      <c r="C143" s="7">
        <f t="shared" si="38"/>
        <v>9.2235663016998259E-2</v>
      </c>
      <c r="D143" s="7"/>
      <c r="E143" s="7">
        <f t="shared" ref="E143:H143" si="39">(E127*E128)</f>
        <v>4.6211780536303797</v>
      </c>
      <c r="F143" s="7">
        <f t="shared" si="39"/>
        <v>5.0979949494243462</v>
      </c>
      <c r="G143" s="7">
        <f t="shared" si="39"/>
        <v>5.0979949494243462</v>
      </c>
      <c r="H143" s="7">
        <f t="shared" si="39"/>
        <v>5.0979949494243462</v>
      </c>
      <c r="I143" s="7"/>
      <c r="J143" s="7" t="s">
        <v>152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  <c r="P143" s="110">
        <v>0</v>
      </c>
      <c r="Q143" s="110"/>
      <c r="R143" s="110">
        <v>0</v>
      </c>
      <c r="S143" s="110">
        <v>0</v>
      </c>
      <c r="T143" s="110">
        <v>0</v>
      </c>
      <c r="U143" s="110">
        <v>0</v>
      </c>
      <c r="V143" s="110">
        <v>0</v>
      </c>
      <c r="W143" s="110">
        <v>0</v>
      </c>
      <c r="X143" s="7"/>
      <c r="Y143" s="7"/>
      <c r="Z143" s="7"/>
    </row>
    <row r="144" spans="1:26" ht="15.75" customHeight="1" x14ac:dyDescent="0.2">
      <c r="A144" s="7" t="s">
        <v>153</v>
      </c>
      <c r="B144" s="7">
        <f t="shared" ref="B144:C144" si="40">(B127*B129)</f>
        <v>-0.54715812308677159</v>
      </c>
      <c r="C144" s="7">
        <f t="shared" si="40"/>
        <v>-0.2569106970913701</v>
      </c>
      <c r="D144" s="7"/>
      <c r="E144" s="7">
        <f t="shared" ref="E144:H144" si="41">(E127*E129)</f>
        <v>-2.8301142962292607</v>
      </c>
      <c r="F144" s="7">
        <f t="shared" si="41"/>
        <v>-2.0316254221304231</v>
      </c>
      <c r="G144" s="7">
        <f t="shared" si="41"/>
        <v>-2.0316254221304231</v>
      </c>
      <c r="H144" s="7">
        <f t="shared" si="41"/>
        <v>-2.0316254221304231</v>
      </c>
      <c r="I144" s="7"/>
      <c r="J144" s="7" t="s">
        <v>153</v>
      </c>
      <c r="K144" s="110">
        <v>0</v>
      </c>
      <c r="L144" s="110">
        <v>0</v>
      </c>
      <c r="M144" s="110">
        <v>0</v>
      </c>
      <c r="N144" s="110">
        <v>0</v>
      </c>
      <c r="O144" s="110">
        <v>0</v>
      </c>
      <c r="P144" s="110">
        <v>0</v>
      </c>
      <c r="Q144" s="110"/>
      <c r="R144" s="110">
        <v>-5.7937900000000001E-3</v>
      </c>
      <c r="S144" s="110">
        <v>0</v>
      </c>
      <c r="T144" s="110">
        <v>0</v>
      </c>
      <c r="U144" s="110">
        <v>0</v>
      </c>
      <c r="V144" s="110">
        <v>0</v>
      </c>
      <c r="W144" s="110">
        <v>0</v>
      </c>
      <c r="X144" s="7"/>
      <c r="Y144" s="7"/>
      <c r="Z144" s="7"/>
    </row>
    <row r="145" spans="1:26" ht="15.75" customHeight="1" x14ac:dyDescent="0.2">
      <c r="A145" s="7" t="s">
        <v>154</v>
      </c>
      <c r="B145" s="7">
        <f t="shared" ref="B145:C145" si="42">(B127*B130)</f>
        <v>0.7406068630437328</v>
      </c>
      <c r="C145" s="7">
        <f t="shared" si="42"/>
        <v>0.44815592777358254</v>
      </c>
      <c r="D145" s="7"/>
      <c r="E145" s="7">
        <f t="shared" ref="E145:H145" si="43">(E127*E130)</f>
        <v>4.8035096911336845</v>
      </c>
      <c r="F145" s="7">
        <f t="shared" si="43"/>
        <v>4.5751519464134391</v>
      </c>
      <c r="G145" s="7">
        <f t="shared" si="43"/>
        <v>4.5751519464134391</v>
      </c>
      <c r="H145" s="7">
        <f t="shared" si="43"/>
        <v>4.5751519464134391</v>
      </c>
      <c r="I145" s="7"/>
      <c r="J145" s="7" t="s">
        <v>154</v>
      </c>
      <c r="K145" s="110">
        <v>0</v>
      </c>
      <c r="L145" s="110">
        <v>-4.0537169999999997E-2</v>
      </c>
      <c r="M145" s="110">
        <v>0</v>
      </c>
      <c r="N145" s="110">
        <v>0</v>
      </c>
      <c r="O145" s="110">
        <v>0</v>
      </c>
      <c r="P145" s="110">
        <v>0</v>
      </c>
      <c r="Q145" s="110"/>
      <c r="R145" s="110">
        <v>0</v>
      </c>
      <c r="S145" s="110">
        <v>0</v>
      </c>
      <c r="T145" s="110">
        <v>0</v>
      </c>
      <c r="U145" s="110">
        <v>0</v>
      </c>
      <c r="V145" s="110">
        <v>0</v>
      </c>
      <c r="W145" s="110">
        <v>0</v>
      </c>
      <c r="X145" s="7"/>
      <c r="Y145" s="7"/>
      <c r="Z145" s="7"/>
    </row>
    <row r="146" spans="1:26" ht="15.75" customHeight="1" x14ac:dyDescent="0.2">
      <c r="A146" s="7" t="s">
        <v>155</v>
      </c>
      <c r="B146" s="7">
        <f t="shared" ref="B146:C146" si="44">(B128*B126)</f>
        <v>0.24629224214469417</v>
      </c>
      <c r="C146" s="7">
        <f t="shared" si="44"/>
        <v>9.9322340528490913E-2</v>
      </c>
      <c r="D146" s="7"/>
      <c r="E146" s="7">
        <f t="shared" ref="E146:H146" si="45">(E128*E126)</f>
        <v>17.522443252061045</v>
      </c>
      <c r="F146" s="7">
        <f t="shared" si="45"/>
        <v>19.073896067614715</v>
      </c>
      <c r="G146" s="7">
        <f t="shared" si="45"/>
        <v>0.22428514427926499</v>
      </c>
      <c r="H146" s="7">
        <f t="shared" si="45"/>
        <v>19.073896067614715</v>
      </c>
      <c r="I146" s="7"/>
      <c r="J146" s="7" t="s">
        <v>155</v>
      </c>
      <c r="K146" s="110">
        <v>0</v>
      </c>
      <c r="L146" s="110">
        <v>0</v>
      </c>
      <c r="M146" s="110">
        <v>0</v>
      </c>
      <c r="N146" s="110">
        <v>0</v>
      </c>
      <c r="O146" s="110">
        <v>0</v>
      </c>
      <c r="P146" s="110">
        <v>0</v>
      </c>
      <c r="Q146" s="110"/>
      <c r="R146" s="110">
        <v>0</v>
      </c>
      <c r="S146" s="110">
        <v>0</v>
      </c>
      <c r="T146" s="110">
        <v>0</v>
      </c>
      <c r="U146" s="110">
        <v>0</v>
      </c>
      <c r="V146" s="110">
        <v>0</v>
      </c>
      <c r="W146" s="110">
        <v>0</v>
      </c>
      <c r="X146" s="7"/>
      <c r="Y146" s="7"/>
      <c r="Z146" s="7"/>
    </row>
    <row r="147" spans="1:26" ht="15.75" customHeight="1" x14ac:dyDescent="0.2">
      <c r="A147" s="7" t="s">
        <v>156</v>
      </c>
      <c r="B147" s="7">
        <f t="shared" ref="B147:C147" si="46">(B129*B129)</f>
        <v>0.75735702454399523</v>
      </c>
      <c r="C147" s="7">
        <f t="shared" si="46"/>
        <v>0.31293273276335226</v>
      </c>
      <c r="D147" s="7"/>
      <c r="E147" s="7">
        <f t="shared" ref="E147:H147" si="47">(E129*E129)</f>
        <v>0.75735702454399523</v>
      </c>
      <c r="F147" s="7">
        <f t="shared" si="47"/>
        <v>0.31293273276335226</v>
      </c>
      <c r="G147" s="7">
        <f t="shared" si="47"/>
        <v>0.31293273276335226</v>
      </c>
      <c r="H147" s="7">
        <f t="shared" si="47"/>
        <v>0.31293273276335226</v>
      </c>
      <c r="I147" s="7"/>
      <c r="J147" s="7" t="s">
        <v>156</v>
      </c>
      <c r="K147" s="110">
        <v>0</v>
      </c>
      <c r="L147" s="110">
        <v>0</v>
      </c>
      <c r="M147" s="110">
        <v>0</v>
      </c>
      <c r="N147" s="110">
        <v>0</v>
      </c>
      <c r="O147" s="110">
        <v>0</v>
      </c>
      <c r="P147" s="110">
        <v>0</v>
      </c>
      <c r="Q147" s="110"/>
      <c r="R147" s="110">
        <v>1.3486985E-2</v>
      </c>
      <c r="S147" s="110">
        <v>0</v>
      </c>
      <c r="T147" s="110">
        <v>0</v>
      </c>
      <c r="U147" s="110">
        <v>0</v>
      </c>
      <c r="V147" s="110">
        <v>0</v>
      </c>
      <c r="W147" s="110">
        <v>0</v>
      </c>
      <c r="X147" s="7"/>
      <c r="Y147" s="7"/>
      <c r="Z147" s="7"/>
    </row>
    <row r="148" spans="1:26" ht="15.75" customHeight="1" x14ac:dyDescent="0.2">
      <c r="A148" s="7" t="s">
        <v>157</v>
      </c>
      <c r="B148" s="7">
        <f t="shared" ref="B148:C148" si="48">(B130*B130)</f>
        <v>1.3875556817945827</v>
      </c>
      <c r="C148" s="7">
        <f t="shared" si="48"/>
        <v>0.95223668372014181</v>
      </c>
      <c r="D148" s="7"/>
      <c r="E148" s="7">
        <f t="shared" ref="E148:H148" si="49">(E130*E130)</f>
        <v>2.1817754467943637</v>
      </c>
      <c r="F148" s="7">
        <f t="shared" si="49"/>
        <v>1.5869920811906557</v>
      </c>
      <c r="G148" s="7">
        <f t="shared" si="49"/>
        <v>1.5869920811906557</v>
      </c>
      <c r="H148" s="7">
        <f t="shared" si="49"/>
        <v>1.5869920811906557</v>
      </c>
      <c r="I148" s="7"/>
      <c r="J148" s="7" t="s">
        <v>157</v>
      </c>
      <c r="K148" s="110">
        <v>0</v>
      </c>
      <c r="L148" s="110">
        <v>0</v>
      </c>
      <c r="M148" s="110">
        <v>0</v>
      </c>
      <c r="N148" s="110">
        <v>0</v>
      </c>
      <c r="O148" s="110">
        <v>0</v>
      </c>
      <c r="P148" s="110">
        <v>0</v>
      </c>
      <c r="Q148" s="110"/>
      <c r="R148" s="110">
        <v>0</v>
      </c>
      <c r="S148" s="110">
        <v>0</v>
      </c>
      <c r="T148" s="110">
        <v>0</v>
      </c>
      <c r="U148" s="110">
        <v>0</v>
      </c>
      <c r="V148" s="110">
        <v>0</v>
      </c>
      <c r="W148" s="110">
        <v>0</v>
      </c>
      <c r="X148" s="7"/>
      <c r="Y148" s="7"/>
      <c r="Z148" s="7"/>
    </row>
    <row r="149" spans="1:26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">
      <c r="A152" s="7"/>
      <c r="B152" s="7"/>
      <c r="C152" s="7"/>
      <c r="D152" s="7"/>
      <c r="E152" s="7"/>
      <c r="F152" s="7"/>
      <c r="G152" s="7"/>
      <c r="H152" s="7" t="s">
        <v>158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 t="s">
        <v>159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 t="s">
        <v>118</v>
      </c>
      <c r="J154" s="7" t="s">
        <v>118</v>
      </c>
      <c r="K154" s="7" t="s">
        <v>118</v>
      </c>
      <c r="L154" s="7" t="s">
        <v>118</v>
      </c>
      <c r="M154" s="7" t="s">
        <v>118</v>
      </c>
      <c r="N154" s="7" t="s">
        <v>118</v>
      </c>
      <c r="O154" s="7" t="s">
        <v>118</v>
      </c>
      <c r="P154" s="7" t="s">
        <v>119</v>
      </c>
      <c r="Q154" s="7" t="s">
        <v>119</v>
      </c>
      <c r="R154" s="7" t="s">
        <v>119</v>
      </c>
      <c r="S154" s="7" t="s">
        <v>119</v>
      </c>
      <c r="T154" s="7" t="s">
        <v>119</v>
      </c>
      <c r="U154" s="7" t="s">
        <v>119</v>
      </c>
      <c r="V154" s="7" t="s">
        <v>119</v>
      </c>
      <c r="W154" s="7"/>
      <c r="X154" s="7"/>
      <c r="Y154" s="7"/>
      <c r="Z154" s="7"/>
    </row>
    <row r="155" spans="1:26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 t="s">
        <v>123</v>
      </c>
      <c r="J155" s="7" t="s">
        <v>123</v>
      </c>
      <c r="K155" s="7" t="s">
        <v>122</v>
      </c>
      <c r="L155" s="7" t="s">
        <v>122</v>
      </c>
      <c r="M155" s="7" t="s">
        <v>122</v>
      </c>
      <c r="N155" s="7" t="s">
        <v>122</v>
      </c>
      <c r="O155" s="7" t="s">
        <v>122</v>
      </c>
      <c r="P155" s="7" t="s">
        <v>123</v>
      </c>
      <c r="Q155" s="7" t="s">
        <v>123</v>
      </c>
      <c r="R155" s="7" t="s">
        <v>122</v>
      </c>
      <c r="S155" s="7" t="s">
        <v>122</v>
      </c>
      <c r="T155" s="7" t="s">
        <v>122</v>
      </c>
      <c r="U155" s="7" t="s">
        <v>122</v>
      </c>
      <c r="V155" s="7" t="s">
        <v>122</v>
      </c>
      <c r="W155" s="7"/>
      <c r="X155" s="7"/>
      <c r="Y155" s="7"/>
      <c r="Z155" s="7"/>
    </row>
    <row r="156" spans="1:26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 t="s">
        <v>94</v>
      </c>
      <c r="J156" s="7" t="s">
        <v>95</v>
      </c>
      <c r="K156" s="7" t="s">
        <v>25</v>
      </c>
      <c r="L156" s="7" t="s">
        <v>126</v>
      </c>
      <c r="M156" s="7" t="s">
        <v>128</v>
      </c>
      <c r="N156" s="7" t="s">
        <v>129</v>
      </c>
      <c r="O156" s="7" t="s">
        <v>160</v>
      </c>
      <c r="P156" s="7" t="s">
        <v>94</v>
      </c>
      <c r="Q156" s="7" t="s">
        <v>95</v>
      </c>
      <c r="R156" s="7" t="s">
        <v>25</v>
      </c>
      <c r="S156" s="7" t="s">
        <v>126</v>
      </c>
      <c r="T156" s="7" t="s">
        <v>128</v>
      </c>
      <c r="U156" s="7" t="s">
        <v>129</v>
      </c>
      <c r="V156" s="7" t="s">
        <v>161</v>
      </c>
      <c r="W156" s="7"/>
      <c r="X156" s="7"/>
      <c r="Y156" s="7"/>
      <c r="Z156" s="7"/>
    </row>
    <row r="157" spans="1:26" ht="15.75" customHeight="1" x14ac:dyDescent="0.2">
      <c r="A157" s="7"/>
      <c r="B157" s="7"/>
      <c r="C157" s="7"/>
      <c r="D157" s="7"/>
      <c r="E157" s="7"/>
      <c r="F157" s="7"/>
      <c r="G157" s="7" t="s">
        <v>162</v>
      </c>
      <c r="H157" s="7"/>
      <c r="I157" s="7">
        <f t="shared" ref="I157:N157" si="50">(K123+$B125*K125+$B126*K126+$B127*K127+$B128*K128+$B129*K129+$B130*K130+$B131*K131+$B132*K132+$B133*K133+$B134*K134+$B135*K135+$B136*K136+$B137*K137+$B138*K138+$B139*K139+$B140*K140+$B141*K141+$B142*K142+$B143*K143+$B144*K144+$B145*K145+$B146*K146+$B147*K147+$B148*K148)</f>
        <v>-0.16480626613621432</v>
      </c>
      <c r="J157" s="7">
        <f t="shared" si="50"/>
        <v>-0.83910633430391945</v>
      </c>
      <c r="K157" s="7">
        <f t="shared" si="50"/>
        <v>2.6807426177530473</v>
      </c>
      <c r="L157" s="7">
        <f t="shared" si="50"/>
        <v>0.50620250686155421</v>
      </c>
      <c r="M157" s="7">
        <f t="shared" si="50"/>
        <v>2.4488062868167848</v>
      </c>
      <c r="N157" s="7">
        <f t="shared" si="50"/>
        <v>1.1054581093316949</v>
      </c>
      <c r="O157" s="7"/>
      <c r="P157" s="7">
        <f t="shared" ref="P157:U157" si="51">(R123+$C125*R125+$C126*R126+$C127*R127+$C128*R128+$C129*R129+$C130*R130+$C131*R131+$C132*R132+$C133*R133+$C134*R134+$C135*R135+$C136*R136+$C137*R137+$C138*R138+$C139*R139+$C140*R140+$C141*R141+$C142*R142+$C143*R143+$C144*R144+$C145*R145+$C146*R146+$C147*R147+$C148*R148)</f>
        <v>-0.73370041556644983</v>
      </c>
      <c r="Q157" s="7">
        <f t="shared" si="51"/>
        <v>-1.2855407942559716</v>
      </c>
      <c r="R157" s="7">
        <f t="shared" si="51"/>
        <v>1.7894624453677159</v>
      </c>
      <c r="S157" s="7">
        <f t="shared" si="51"/>
        <v>-0.22964287599693639</v>
      </c>
      <c r="T157" s="7">
        <f t="shared" si="51"/>
        <v>0.64655169381215993</v>
      </c>
      <c r="U157" s="7">
        <f t="shared" si="51"/>
        <v>-0.4560417363497139</v>
      </c>
      <c r="V157" s="7"/>
      <c r="W157" s="7"/>
      <c r="X157" s="7"/>
      <c r="Y157" s="7"/>
      <c r="Z157" s="7"/>
    </row>
    <row r="158" spans="1:26" ht="15.75" customHeight="1" x14ac:dyDescent="0.2">
      <c r="A158" s="7"/>
      <c r="B158" s="7"/>
      <c r="C158" s="7"/>
      <c r="D158" s="7"/>
      <c r="E158" s="7"/>
      <c r="F158" s="7"/>
      <c r="G158" s="7" t="s">
        <v>163</v>
      </c>
      <c r="H158" s="7"/>
      <c r="I158" s="7">
        <f t="shared" ref="I158:N158" si="52">EXP(I157)</f>
        <v>0.84805798572423252</v>
      </c>
      <c r="J158" s="7">
        <f t="shared" si="52"/>
        <v>0.43209650075616557</v>
      </c>
      <c r="K158" s="7">
        <f t="shared" si="52"/>
        <v>14.595928467789722</v>
      </c>
      <c r="L158" s="7">
        <f t="shared" si="52"/>
        <v>1.6589792554184355</v>
      </c>
      <c r="M158" s="7">
        <f t="shared" si="52"/>
        <v>11.574521810102771</v>
      </c>
      <c r="N158" s="7">
        <f t="shared" si="52"/>
        <v>3.0206079205720973</v>
      </c>
      <c r="O158" s="7">
        <f>($T$98*K158+$T$99*L158+$T$100*M158+$T$101*N158)</f>
        <v>4.5937250850254383</v>
      </c>
      <c r="P158" s="7">
        <f t="shared" ref="P158:U158" si="53">EXP(P157)</f>
        <v>0.48012902190375573</v>
      </c>
      <c r="Q158" s="7">
        <f t="shared" si="53"/>
        <v>0.27650101303253982</v>
      </c>
      <c r="R158" s="7">
        <f t="shared" si="53"/>
        <v>5.9862336736809372</v>
      </c>
      <c r="S158" s="7">
        <f t="shared" si="53"/>
        <v>0.79481740019649638</v>
      </c>
      <c r="T158" s="7">
        <f t="shared" si="53"/>
        <v>1.908946833312235</v>
      </c>
      <c r="U158" s="7">
        <f t="shared" si="53"/>
        <v>0.63378738457461015</v>
      </c>
      <c r="V158" s="7">
        <f>($T$98*R158+$T$99*S158+$T$100*T158+$T$101*U158)</f>
        <v>1.889430862041378</v>
      </c>
      <c r="W158" s="7"/>
      <c r="X158" s="7"/>
      <c r="Y158" s="7"/>
      <c r="Z158" s="7"/>
    </row>
    <row r="159" spans="1:26" ht="15.75" customHeight="1" x14ac:dyDescent="0.2">
      <c r="A159" s="7" t="s">
        <v>119</v>
      </c>
      <c r="B159" s="7"/>
      <c r="C159" s="7" t="s">
        <v>164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">
      <c r="A160" s="7" t="s">
        <v>117</v>
      </c>
      <c r="B160" s="7"/>
      <c r="C160" s="7" t="s">
        <v>165</v>
      </c>
      <c r="D160" s="7"/>
      <c r="E160" s="7"/>
      <c r="F160" s="7"/>
      <c r="G160" s="7"/>
      <c r="H160" s="7"/>
      <c r="I160" s="7" t="s">
        <v>166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">
      <c r="A161" s="7">
        <f>(C97)</f>
        <v>7</v>
      </c>
      <c r="B161" s="7"/>
      <c r="C161" s="7"/>
      <c r="D161" s="7"/>
      <c r="E161" s="7"/>
      <c r="F161" s="7"/>
      <c r="G161" s="7"/>
      <c r="H161" s="7"/>
      <c r="I161" s="7" t="s">
        <v>118</v>
      </c>
      <c r="J161" s="7" t="s">
        <v>118</v>
      </c>
      <c r="K161" s="7" t="s">
        <v>118</v>
      </c>
      <c r="L161" s="7" t="s">
        <v>118</v>
      </c>
      <c r="M161" s="7" t="s">
        <v>118</v>
      </c>
      <c r="N161" s="7" t="s">
        <v>118</v>
      </c>
      <c r="O161" s="7" t="s">
        <v>118</v>
      </c>
      <c r="P161" s="7" t="s">
        <v>119</v>
      </c>
      <c r="Q161" s="7" t="s">
        <v>119</v>
      </c>
      <c r="R161" s="7" t="s">
        <v>119</v>
      </c>
      <c r="S161" s="7" t="s">
        <v>119</v>
      </c>
      <c r="T161" s="7" t="s">
        <v>119</v>
      </c>
      <c r="U161" s="7" t="s">
        <v>119</v>
      </c>
      <c r="V161" s="7" t="s">
        <v>119</v>
      </c>
      <c r="W161" s="7"/>
      <c r="X161" s="7"/>
      <c r="Y161" s="7"/>
      <c r="Z161" s="7"/>
    </row>
    <row r="162" spans="1:26" ht="15.75" customHeight="1" x14ac:dyDescent="0.2">
      <c r="A162" s="109">
        <f>IF(C98&lt;181.3,181.3,C98)</f>
        <v>181.3</v>
      </c>
      <c r="B162" s="7"/>
      <c r="C162" s="7"/>
      <c r="D162" s="7"/>
      <c r="E162" s="7"/>
      <c r="F162" s="7"/>
      <c r="G162" s="7"/>
      <c r="H162" s="7"/>
      <c r="I162" s="7" t="s">
        <v>123</v>
      </c>
      <c r="J162" s="7" t="s">
        <v>123</v>
      </c>
      <c r="K162" s="7" t="s">
        <v>122</v>
      </c>
      <c r="L162" s="7" t="s">
        <v>122</v>
      </c>
      <c r="M162" s="7" t="s">
        <v>122</v>
      </c>
      <c r="N162" s="7" t="s">
        <v>122</v>
      </c>
      <c r="O162" s="7" t="s">
        <v>122</v>
      </c>
      <c r="P162" s="7" t="s">
        <v>123</v>
      </c>
      <c r="Q162" s="7" t="s">
        <v>123</v>
      </c>
      <c r="R162" s="7" t="s">
        <v>122</v>
      </c>
      <c r="S162" s="7" t="s">
        <v>122</v>
      </c>
      <c r="T162" s="7" t="s">
        <v>122</v>
      </c>
      <c r="U162" s="7" t="s">
        <v>122</v>
      </c>
      <c r="V162" s="7" t="s">
        <v>122</v>
      </c>
      <c r="W162" s="7"/>
      <c r="X162" s="7"/>
      <c r="Y162" s="7"/>
      <c r="Z162" s="7"/>
    </row>
    <row r="163" spans="1:26" ht="15.75" customHeight="1" x14ac:dyDescent="0.2">
      <c r="A163" s="109">
        <f>IF(C99&lt;C163,C163,C99)</f>
        <v>307.69572399999998</v>
      </c>
      <c r="B163" s="7"/>
      <c r="C163" s="109">
        <f>323.8-0.9712*B24-7.27598*B27</f>
        <v>307.69572399999998</v>
      </c>
      <c r="D163" s="7"/>
      <c r="E163" s="7"/>
      <c r="F163" s="7"/>
      <c r="G163" s="7"/>
      <c r="H163" s="7"/>
      <c r="I163" s="7" t="s">
        <v>94</v>
      </c>
      <c r="J163" s="7" t="s">
        <v>95</v>
      </c>
      <c r="K163" s="7" t="s">
        <v>25</v>
      </c>
      <c r="L163" s="7" t="s">
        <v>126</v>
      </c>
      <c r="M163" s="7" t="s">
        <v>128</v>
      </c>
      <c r="N163" s="7" t="s">
        <v>129</v>
      </c>
      <c r="O163" s="7" t="s">
        <v>161</v>
      </c>
      <c r="P163" s="7" t="s">
        <v>94</v>
      </c>
      <c r="Q163" s="7" t="s">
        <v>95</v>
      </c>
      <c r="R163" s="7" t="s">
        <v>25</v>
      </c>
      <c r="S163" s="7" t="s">
        <v>126</v>
      </c>
      <c r="T163" s="7" t="s">
        <v>128</v>
      </c>
      <c r="U163" s="7" t="s">
        <v>129</v>
      </c>
      <c r="V163" s="7" t="s">
        <v>161</v>
      </c>
      <c r="W163" s="7"/>
      <c r="X163" s="7"/>
      <c r="Y163" s="7"/>
      <c r="Z163" s="7"/>
    </row>
    <row r="164" spans="1:26" ht="15.75" customHeight="1" x14ac:dyDescent="0.2">
      <c r="A164" s="102">
        <f t="shared" ref="A164:A165" si="54">(C100)</f>
        <v>0.1</v>
      </c>
      <c r="B164" s="7"/>
      <c r="C164" s="7"/>
      <c r="D164" s="7"/>
      <c r="E164" s="7"/>
      <c r="F164" s="7"/>
      <c r="G164" s="7" t="s">
        <v>162</v>
      </c>
      <c r="H164" s="7"/>
      <c r="I164" s="7">
        <f t="shared" ref="I164:N164" si="55">(K123+$E125*K125+$E126*K126+$E127*K127+$E128*K128+$E129*K129+$E130*K130+$E131*K131+$E132*K132+$E133*K133+$E134*K134+$E135*K135+$E136*K136+$E137*K137+$E138*K138+$E139*K139+$E140*K140+$E141*K141+$E142*K142+$E143*K143+$E144*K144+$E145*K145+$E146*K146+$E147*K147+$E148*K148)</f>
        <v>0.12150097142015059</v>
      </c>
      <c r="J164" s="7">
        <f t="shared" si="55"/>
        <v>-0.7904729504710637</v>
      </c>
      <c r="K164" s="7">
        <f t="shared" si="55"/>
        <v>1.9812369719196954</v>
      </c>
      <c r="L164" s="7">
        <f t="shared" si="55"/>
        <v>-1.583042662518733</v>
      </c>
      <c r="M164" s="7">
        <f t="shared" si="55"/>
        <v>2.7585602738096688</v>
      </c>
      <c r="N164" s="7">
        <f t="shared" si="55"/>
        <v>1.373663860417597</v>
      </c>
      <c r="O164" s="7"/>
      <c r="P164" s="7">
        <f>(R123+$F125*R125+$F126*R126+$F127*R127+$F128*R128+$F129*R129+$F130*R130+$F131*R131+$F132*R132+$F133*R133+$F134*R134+$F135*R135+$F136*R136+$F137*R137+$F138*R138+$F139*R139+$F140*R140+$F141*R141+$F142*R142+$F143*R143+$F144*R144+$F145*R145+$F146*R146+$F147*R147+$F148*R148)</f>
        <v>-0.68859904546896866</v>
      </c>
      <c r="Q164" s="7">
        <f>S123+$G125*S125+$G126*S126+$G127*S127+$G128*S128+$G129*S129+$G130*S130+$G131*S131+$G132*S132+$G133*S133+$G134*S134+$G135*S135+$G136*S136+$G137*S137+$G138*S138+$G139*S139+$G140*S140+$G141*S141+$G142*S142+$G143*S143+$G144*S144+$G145*S145+$G146*S146+$G147*S147+$G148*S148</f>
        <v>-1.5185476136919298</v>
      </c>
      <c r="R164" s="7">
        <f>T123+$H125*T125+$H126*T126+$H127*T127+$H128*T128+$H129*T129+$H130*T130+$H131*T131+$H132*T132+$H133*T133+$H134*T134+$H135*T135+$H136*T136+$H137*T137+$H138*T138+$H139*T139+$H140*T140+$H141*T141+$H142*T142+$H143*T143+$H144*T144+$H145*T145+$H146*T146+$H147*T147+H148*T148</f>
        <v>0.55274818404238357</v>
      </c>
      <c r="S164" s="7">
        <f t="shared" ref="S164:U164" si="56">U123+$H125*U125+$H126*U126+$H127*U127+$H128*U128+$H129*U129+$H130*U130+$H131*U131+$H132*U132+$H133*U133+$H134*U134+$H135*U135+$H136*U136+$H137*U137+$H138*U138+$H139*U139+$H140*U140+$H141*U141+$H142*U142+$H143*U143+$H144*U144+$H145*U145+$H146*U146+$H147*U147+$H148*U148</f>
        <v>-1.8443900626307965</v>
      </c>
      <c r="T164" s="7">
        <f t="shared" si="56"/>
        <v>-0.18311567564529913</v>
      </c>
      <c r="U164" s="7">
        <f t="shared" si="56"/>
        <v>-1.7459688847550254</v>
      </c>
      <c r="V164" s="7"/>
      <c r="W164" s="7"/>
      <c r="X164" s="7"/>
      <c r="Y164" s="7"/>
      <c r="Z164" s="7"/>
    </row>
    <row r="165" spans="1:26" ht="15.75" customHeight="1" x14ac:dyDescent="0.2">
      <c r="A165" s="102">
        <f t="shared" si="54"/>
        <v>0</v>
      </c>
      <c r="B165" s="7"/>
      <c r="C165" s="7"/>
      <c r="D165" s="7"/>
      <c r="E165" s="7"/>
      <c r="F165" s="7"/>
      <c r="G165" s="7" t="s">
        <v>163</v>
      </c>
      <c r="H165" s="7"/>
      <c r="I165" s="7">
        <f t="shared" ref="I165:N165" si="57">EXP(I164)</f>
        <v>1.1291904628429943</v>
      </c>
      <c r="J165" s="7">
        <f t="shared" si="57"/>
        <v>0.45363019992312542</v>
      </c>
      <c r="K165" s="7">
        <f t="shared" si="57"/>
        <v>7.2517075981994648</v>
      </c>
      <c r="L165" s="7">
        <f t="shared" si="57"/>
        <v>0.20534933796515994</v>
      </c>
      <c r="M165" s="7">
        <f t="shared" si="57"/>
        <v>15.777111867757073</v>
      </c>
      <c r="N165" s="7">
        <f t="shared" si="57"/>
        <v>3.9497957172256823</v>
      </c>
      <c r="O165" s="7">
        <f>($T$98*K165+$T$99*L165+$T$100*M165+$T$101*N165)</f>
        <v>2.0535352765061772</v>
      </c>
      <c r="P165" s="7">
        <f t="shared" ref="P165:U165" si="58">EXP(P164)</f>
        <v>0.50227924677766211</v>
      </c>
      <c r="Q165" s="7">
        <f t="shared" si="58"/>
        <v>0.219029771892224</v>
      </c>
      <c r="R165" s="7">
        <f t="shared" si="58"/>
        <v>1.7380228673626155</v>
      </c>
      <c r="S165" s="7">
        <f t="shared" si="58"/>
        <v>0.15812173583868988</v>
      </c>
      <c r="T165" s="7">
        <f t="shared" si="58"/>
        <v>0.83267183031465164</v>
      </c>
      <c r="U165" s="7">
        <f t="shared" si="58"/>
        <v>0.17447586004590654</v>
      </c>
      <c r="V165" s="7">
        <f>($T$98*R165+$T$99*S165+$T$100*T165+$T$101*U165)</f>
        <v>0.48552075111208182</v>
      </c>
      <c r="W165" s="7"/>
      <c r="X165" s="7"/>
      <c r="Y165" s="7"/>
      <c r="Z165" s="7"/>
    </row>
    <row r="166" spans="1:26" ht="15.75" customHeight="1" x14ac:dyDescent="0.2">
      <c r="A166" s="102">
        <f>IF(C102&lt;C166,C166,C102)</f>
        <v>2</v>
      </c>
      <c r="B166" s="7"/>
      <c r="C166" s="102">
        <f>4.724+0.035867*B24-0.57808*7</f>
        <v>0.68102669999999943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">
      <c r="A167" s="109">
        <f t="shared" ref="A167:A168" si="59">(C103)</f>
        <v>1</v>
      </c>
      <c r="B167" s="7"/>
      <c r="C167" s="7"/>
      <c r="D167" s="7"/>
      <c r="E167" s="7"/>
      <c r="F167" s="7"/>
      <c r="G167" s="7"/>
      <c r="H167" s="7" t="s">
        <v>167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">
      <c r="A168" s="101">
        <f t="shared" si="59"/>
        <v>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">
      <c r="A169" s="7"/>
      <c r="B169" s="7"/>
      <c r="C169" s="7"/>
      <c r="D169" s="7"/>
      <c r="E169" s="7"/>
      <c r="F169" s="7"/>
      <c r="G169" s="7"/>
      <c r="H169" s="7" t="s">
        <v>91</v>
      </c>
      <c r="I169" s="7"/>
      <c r="J169" s="7" t="s">
        <v>118</v>
      </c>
      <c r="K169" s="7" t="s">
        <v>119</v>
      </c>
      <c r="L169" s="7" t="s">
        <v>92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">
      <c r="A170" s="7"/>
      <c r="B170" s="7"/>
      <c r="C170" s="7"/>
      <c r="D170" s="7"/>
      <c r="E170" s="7"/>
      <c r="F170" s="7"/>
      <c r="G170" s="7"/>
      <c r="H170" s="7" t="s">
        <v>168</v>
      </c>
      <c r="I170" s="7"/>
      <c r="J170" s="7">
        <f>((I$165-I$158)/I$158)*100</f>
        <v>33.150147967615403</v>
      </c>
      <c r="K170" s="7">
        <f>((P$165-P$158)/P$158)*100</f>
        <v>4.6133901229462673</v>
      </c>
      <c r="L170" s="7">
        <f t="shared" ref="L170:L171" si="60">(O98*J170+P98*K170)</f>
        <v>9.5787859879186961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">
      <c r="A171" s="7"/>
      <c r="B171" s="7"/>
      <c r="C171" s="7"/>
      <c r="D171" s="7"/>
      <c r="E171" s="7"/>
      <c r="F171" s="7"/>
      <c r="G171" s="7"/>
      <c r="H171" s="7" t="s">
        <v>169</v>
      </c>
      <c r="I171" s="7"/>
      <c r="J171" s="7">
        <f>((J$165-J$158)/J$158)*100</f>
        <v>4.9835393550459317</v>
      </c>
      <c r="K171" s="7">
        <f>((Q$165-Q$158)/Q$158)*100</f>
        <v>-20.785182849783034</v>
      </c>
      <c r="L171" s="7">
        <f t="shared" si="60"/>
        <v>-15.6829758532269</v>
      </c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">
      <c r="A172" s="7"/>
      <c r="B172" s="7"/>
      <c r="C172" s="7"/>
      <c r="D172" s="7"/>
      <c r="E172" s="7"/>
      <c r="F172" s="7"/>
      <c r="G172" s="7"/>
      <c r="H172" s="7" t="s">
        <v>65</v>
      </c>
      <c r="I172" s="7"/>
      <c r="J172" s="7">
        <f>((K$165-K$158)/K$158)*100</f>
        <v>-50.316914650530634</v>
      </c>
      <c r="K172" s="7">
        <f>((R$165-R$158)/R$158)*100</f>
        <v>-70.966337732454321</v>
      </c>
      <c r="L172" s="7">
        <f>((((O$100*K$165+P$100*R$165)/(O$100*K$158+P$100*R$158))-1)*100)</f>
        <v>-66.993825098779823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">
      <c r="A173" s="7"/>
      <c r="B173" s="7"/>
      <c r="C173" s="7"/>
      <c r="D173" s="7"/>
      <c r="E173" s="7"/>
      <c r="F173" s="7"/>
      <c r="G173" s="7"/>
      <c r="H173" s="7" t="s">
        <v>126</v>
      </c>
      <c r="I173" s="7"/>
      <c r="J173" s="7">
        <f>((L$165-L$158)/L$158)*100</f>
        <v>-87.621946609973392</v>
      </c>
      <c r="K173" s="7">
        <f>((S$165-S$158)/S$158)*100</f>
        <v>-80.10590409827482</v>
      </c>
      <c r="L173" s="7">
        <f>((((O$100*L$165+P$100*S$165)/(O$100*L$158+P$100*S$158))-1)*100)</f>
        <v>-81.378936012028674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">
      <c r="A174" s="7"/>
      <c r="B174" s="7"/>
      <c r="C174" s="7"/>
      <c r="D174" s="7"/>
      <c r="E174" s="7"/>
      <c r="F174" s="7"/>
      <c r="G174" s="7"/>
      <c r="H174" s="7" t="s">
        <v>128</v>
      </c>
      <c r="I174" s="7"/>
      <c r="J174" s="7">
        <f>((M$165-M$158)/M$158)*100</f>
        <v>36.308973507536955</v>
      </c>
      <c r="K174" s="7">
        <f>((T$165-T$158)/T$158)*100</f>
        <v>-56.38056462421882</v>
      </c>
      <c r="L174" s="7">
        <f>((((O$100*M$165+P$100*T$165)/(O$100*M$158+P$100*T$158))-1)*100)</f>
        <v>-21.900178183657438</v>
      </c>
      <c r="M174" s="7"/>
      <c r="N174" s="7" t="s">
        <v>170</v>
      </c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">
      <c r="A175" s="7"/>
      <c r="B175" s="7"/>
      <c r="C175" s="7"/>
      <c r="D175" s="7"/>
      <c r="E175" s="7"/>
      <c r="F175" s="7"/>
      <c r="G175" s="7"/>
      <c r="H175" s="7" t="s">
        <v>129</v>
      </c>
      <c r="I175" s="7"/>
      <c r="J175" s="7">
        <f>((N$165-N$158)/N$158)*100</f>
        <v>30.761615578283948</v>
      </c>
      <c r="K175" s="7">
        <f>((U$165-U$158)/U$158)*100</f>
        <v>-72.470916226423086</v>
      </c>
      <c r="L175" s="7">
        <f>((((O$100*N$165+P$100*U$165)/(O$100*N$158+P$100*U$158))-1)*100)</f>
        <v>-39.674942907144704</v>
      </c>
      <c r="M175" s="7"/>
      <c r="N175" s="7" t="s">
        <v>116</v>
      </c>
      <c r="O175" s="7" t="s">
        <v>117</v>
      </c>
      <c r="P175" s="7" t="s">
        <v>171</v>
      </c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">
      <c r="A176" s="7"/>
      <c r="B176" s="7"/>
      <c r="C176" s="7"/>
      <c r="D176" s="7"/>
      <c r="E176" s="7"/>
      <c r="F176" s="7"/>
      <c r="G176" s="7"/>
      <c r="H176" s="7" t="s">
        <v>172</v>
      </c>
      <c r="I176" s="7"/>
      <c r="J176" s="7">
        <f>((O$165-O$158)/O$158)*100</f>
        <v>-55.296948805224254</v>
      </c>
      <c r="K176" s="7">
        <f>((V$165-V$158)/V$158)*100</f>
        <v>-74.303333301779801</v>
      </c>
      <c r="L176" s="7">
        <f>((((O$100*O$165+P$100*V$165)/(O$100*O$158+P$100*V$158))-1)*100)</f>
        <v>-70.655358198372596</v>
      </c>
      <c r="M176" s="7"/>
      <c r="N176" s="7">
        <f>((K158*O$100+R158*P$100)*T$98)+((L158*O$100+S158*P$100)*T$99)+((M158*O$100+T158*P$100)*T$100)+((N158*O$100+U158*P$100)*T$101)</f>
        <v>2.1301130478869594</v>
      </c>
      <c r="O176" s="7">
        <f>((K165*O$100+R165*P$100)*T$98)+((L165*O$100+S165*P$100)*T$99)+((M165*O$100+T165*P$100)*T$100)+((N165*O$100+U165*P$100)*T$101)</f>
        <v>0.62507404387215626</v>
      </c>
      <c r="P176" s="7">
        <f>((O176-N176)/N176)*100</f>
        <v>-70.655358198372596</v>
      </c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 t="s">
        <v>173</v>
      </c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 t="s">
        <v>174</v>
      </c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35" t="s">
        <v>175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">
      <c r="A189" s="7"/>
      <c r="B189" s="7"/>
      <c r="C189" s="7"/>
      <c r="D189" s="7"/>
      <c r="E189" s="7"/>
      <c r="F189" s="7" t="s">
        <v>115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">
      <c r="A190" s="7" t="s">
        <v>17</v>
      </c>
      <c r="B190" s="7" t="s">
        <v>116</v>
      </c>
      <c r="C190" s="7" t="s">
        <v>117</v>
      </c>
      <c r="D190" s="7"/>
      <c r="E190" s="7"/>
      <c r="F190" s="7"/>
      <c r="G190" s="66" t="s">
        <v>118</v>
      </c>
      <c r="H190" s="66" t="s">
        <v>118</v>
      </c>
      <c r="I190" s="66" t="s">
        <v>119</v>
      </c>
      <c r="J190" s="66" t="s">
        <v>119</v>
      </c>
      <c r="K190" s="66" t="s">
        <v>98</v>
      </c>
      <c r="L190" s="66"/>
      <c r="M190" s="7"/>
      <c r="N190" s="7" t="s">
        <v>120</v>
      </c>
      <c r="O190" s="7"/>
      <c r="P190" s="7"/>
      <c r="Q190" s="7"/>
      <c r="R190" s="7" t="s">
        <v>121</v>
      </c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">
      <c r="A191" s="7" t="s">
        <v>81</v>
      </c>
      <c r="B191" s="7">
        <v>7</v>
      </c>
      <c r="C191" s="7">
        <v>7</v>
      </c>
      <c r="D191" s="7"/>
      <c r="E191" s="7"/>
      <c r="F191" s="7" t="s">
        <v>91</v>
      </c>
      <c r="G191" s="66" t="s">
        <v>122</v>
      </c>
      <c r="H191" s="66" t="s">
        <v>123</v>
      </c>
      <c r="I191" s="66" t="s">
        <v>122</v>
      </c>
      <c r="J191" s="66" t="s">
        <v>123</v>
      </c>
      <c r="K191" s="66" t="s">
        <v>122</v>
      </c>
      <c r="L191" s="66" t="s">
        <v>123</v>
      </c>
      <c r="M191" s="7"/>
      <c r="N191" s="7" t="s">
        <v>91</v>
      </c>
      <c r="O191" s="7" t="s">
        <v>118</v>
      </c>
      <c r="P191" s="7" t="s">
        <v>119</v>
      </c>
      <c r="Q191" s="7"/>
      <c r="R191" s="7" t="s">
        <v>91</v>
      </c>
      <c r="S191" s="7"/>
      <c r="T191" s="7" t="s">
        <v>124</v>
      </c>
      <c r="U191" s="7"/>
      <c r="V191" s="7"/>
      <c r="W191" s="7"/>
      <c r="X191" s="7"/>
      <c r="Y191" s="7"/>
      <c r="Z191" s="7"/>
    </row>
    <row r="192" spans="1:26" ht="15.75" customHeight="1" x14ac:dyDescent="0.2">
      <c r="A192" s="7" t="s">
        <v>18</v>
      </c>
      <c r="B192" s="7">
        <f>IF(B37="A",200,210)</f>
        <v>210</v>
      </c>
      <c r="C192" s="109">
        <f t="shared" ref="C192:C195" si="61">VALUE(B22)</f>
        <v>80</v>
      </c>
      <c r="D192" s="7"/>
      <c r="E192" s="7"/>
      <c r="F192" s="7" t="s">
        <v>94</v>
      </c>
      <c r="G192" s="111" t="s">
        <v>125</v>
      </c>
      <c r="H192" s="111">
        <f>($J$264)</f>
        <v>33.150147967615403</v>
      </c>
      <c r="I192" s="111" t="s">
        <v>125</v>
      </c>
      <c r="J192" s="111">
        <f>($K$264)</f>
        <v>4.6133901229462673</v>
      </c>
      <c r="K192" s="111" t="s">
        <v>125</v>
      </c>
      <c r="L192" s="111">
        <f>($L$264)</f>
        <v>9.5787859879186961</v>
      </c>
      <c r="M192" s="7"/>
      <c r="N192" s="7" t="s">
        <v>94</v>
      </c>
      <c r="O192" s="7">
        <v>0.17399999999999999</v>
      </c>
      <c r="P192" s="7">
        <v>0.82599999999999996</v>
      </c>
      <c r="Q192" s="7"/>
      <c r="R192" s="7" t="s">
        <v>65</v>
      </c>
      <c r="S192" s="7"/>
      <c r="T192" s="7">
        <v>0.17</v>
      </c>
      <c r="U192" s="7"/>
      <c r="V192" s="7"/>
      <c r="W192" s="7"/>
      <c r="X192" s="7"/>
      <c r="Y192" s="7"/>
      <c r="Z192" s="7"/>
    </row>
    <row r="193" spans="1:26" ht="15.75" customHeight="1" x14ac:dyDescent="0.2">
      <c r="A193" s="7" t="s">
        <v>20</v>
      </c>
      <c r="B193" s="7">
        <f>IF(B38="A",290,300)</f>
        <v>300</v>
      </c>
      <c r="C193" s="109">
        <f t="shared" si="61"/>
        <v>-1</v>
      </c>
      <c r="D193" s="7"/>
      <c r="E193" s="7"/>
      <c r="F193" s="7" t="s">
        <v>95</v>
      </c>
      <c r="G193" s="111" t="s">
        <v>125</v>
      </c>
      <c r="H193" s="111">
        <f>($J$265)</f>
        <v>4.9835393550459317</v>
      </c>
      <c r="I193" s="111" t="s">
        <v>125</v>
      </c>
      <c r="J193" s="111">
        <f>($K$265)</f>
        <v>-20.784902499489785</v>
      </c>
      <c r="K193" s="111" t="s">
        <v>125</v>
      </c>
      <c r="L193" s="111">
        <f>($L$265)</f>
        <v>-15.682751012291714</v>
      </c>
      <c r="M193" s="7"/>
      <c r="N193" s="7" t="s">
        <v>95</v>
      </c>
      <c r="O193" s="7">
        <v>0.19800000000000001</v>
      </c>
      <c r="P193" s="7">
        <v>0.80200000000000005</v>
      </c>
      <c r="Q193" s="7"/>
      <c r="R193" s="7" t="s">
        <v>126</v>
      </c>
      <c r="S193" s="7"/>
      <c r="T193" s="7">
        <v>1</v>
      </c>
      <c r="U193" s="7"/>
      <c r="V193" s="7"/>
      <c r="W193" s="7"/>
      <c r="X193" s="7"/>
      <c r="Y193" s="7"/>
      <c r="Z193" s="7"/>
    </row>
    <row r="194" spans="1:26" ht="15.75" customHeight="1" x14ac:dyDescent="0.2">
      <c r="A194" s="7" t="s">
        <v>21</v>
      </c>
      <c r="B194" s="7">
        <f>IF(B39="A",22,25)</f>
        <v>25</v>
      </c>
      <c r="C194" s="102">
        <f t="shared" si="61"/>
        <v>0.1</v>
      </c>
      <c r="D194" s="7"/>
      <c r="E194" s="7"/>
      <c r="F194" s="7" t="s">
        <v>65</v>
      </c>
      <c r="G194" s="111">
        <f>($J$266)</f>
        <v>-50.316914650530634</v>
      </c>
      <c r="H194" s="111" t="s">
        <v>125</v>
      </c>
      <c r="I194" s="111">
        <f>($K$266)</f>
        <v>-70.966337732454321</v>
      </c>
      <c r="J194" s="111" t="s">
        <v>125</v>
      </c>
      <c r="K194" s="111">
        <f>($L$266)</f>
        <v>-66.993825098779823</v>
      </c>
      <c r="L194" s="111" t="s">
        <v>125</v>
      </c>
      <c r="M194" s="7"/>
      <c r="N194" s="7" t="s">
        <v>127</v>
      </c>
      <c r="O194" s="7">
        <v>8.8999999999999996E-2</v>
      </c>
      <c r="P194" s="7">
        <v>0.91100000000000003</v>
      </c>
      <c r="Q194" s="7"/>
      <c r="R194" s="7" t="s">
        <v>128</v>
      </c>
      <c r="S194" s="7"/>
      <c r="T194" s="7">
        <v>3.5000000000000003E-2</v>
      </c>
      <c r="U194" s="7"/>
      <c r="V194" s="7"/>
      <c r="W194" s="7"/>
      <c r="X194" s="7"/>
      <c r="Y194" s="7"/>
      <c r="Z194" s="7"/>
    </row>
    <row r="195" spans="1:26" ht="15.75" customHeight="1" x14ac:dyDescent="0.2">
      <c r="A195" s="7" t="s">
        <v>22</v>
      </c>
      <c r="B195" s="7">
        <f>IF(B40="A",4,6)</f>
        <v>6</v>
      </c>
      <c r="C195" s="102">
        <f t="shared" si="61"/>
        <v>0</v>
      </c>
      <c r="D195" s="7"/>
      <c r="E195" s="7"/>
      <c r="F195" s="7" t="s">
        <v>126</v>
      </c>
      <c r="G195" s="111">
        <f>($J$267)</f>
        <v>-87.621946609973392</v>
      </c>
      <c r="H195" s="111" t="s">
        <v>125</v>
      </c>
      <c r="I195" s="111">
        <f>($K$267)</f>
        <v>-80.10590409827482</v>
      </c>
      <c r="J195" s="111" t="s">
        <v>125</v>
      </c>
      <c r="K195" s="111">
        <f>($L$267)</f>
        <v>-81.378936012028674</v>
      </c>
      <c r="L195" s="111" t="s">
        <v>125</v>
      </c>
      <c r="M195" s="7"/>
      <c r="N195" s="7"/>
      <c r="O195" s="7"/>
      <c r="P195" s="7"/>
      <c r="Q195" s="7"/>
      <c r="R195" s="7" t="s">
        <v>129</v>
      </c>
      <c r="S195" s="7"/>
      <c r="T195" s="7">
        <v>1.6E-2</v>
      </c>
      <c r="U195" s="7"/>
      <c r="V195" s="7"/>
      <c r="W195" s="7"/>
      <c r="X195" s="7"/>
      <c r="Y195" s="7"/>
      <c r="Z195" s="7"/>
    </row>
    <row r="196" spans="1:26" ht="15.75" customHeight="1" x14ac:dyDescent="0.2">
      <c r="A196" s="7" t="s">
        <v>86</v>
      </c>
      <c r="B196" s="7">
        <f>VALUE(C85)</f>
        <v>2</v>
      </c>
      <c r="C196" s="102">
        <f>VALUE(E85)</f>
        <v>2</v>
      </c>
      <c r="D196" s="7"/>
      <c r="E196" s="7"/>
      <c r="F196" s="7" t="s">
        <v>128</v>
      </c>
      <c r="G196" s="111">
        <f>($J$268)</f>
        <v>36.308973507536955</v>
      </c>
      <c r="H196" s="111" t="s">
        <v>125</v>
      </c>
      <c r="I196" s="111">
        <f>($K$268)</f>
        <v>-56.38056462421882</v>
      </c>
      <c r="J196" s="111" t="s">
        <v>125</v>
      </c>
      <c r="K196" s="111">
        <f>($L$268)</f>
        <v>-21.900178183657438</v>
      </c>
      <c r="L196" s="111" t="s">
        <v>125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">
      <c r="A197" s="7" t="s">
        <v>23</v>
      </c>
      <c r="B197" s="7">
        <f>IF(B41="A",30,40)</f>
        <v>40</v>
      </c>
      <c r="C197" s="109">
        <f t="shared" ref="C197:C198" si="62">VALUE(B29)</f>
        <v>1</v>
      </c>
      <c r="D197" s="7"/>
      <c r="E197" s="7"/>
      <c r="F197" s="7" t="s">
        <v>129</v>
      </c>
      <c r="G197" s="111">
        <f>($J$269)</f>
        <v>30.761615578283948</v>
      </c>
      <c r="H197" s="111" t="s">
        <v>125</v>
      </c>
      <c r="I197" s="111">
        <f>($K$269)</f>
        <v>-72.470916226423086</v>
      </c>
      <c r="J197" s="111" t="s">
        <v>125</v>
      </c>
      <c r="K197" s="111">
        <f>($L$269)</f>
        <v>-39.674942907144704</v>
      </c>
      <c r="L197" s="111" t="s">
        <v>125</v>
      </c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">
      <c r="A198" s="7" t="s">
        <v>25</v>
      </c>
      <c r="B198" s="7">
        <f>IF(B42="A",0.8,1)</f>
        <v>1</v>
      </c>
      <c r="C198" s="101">
        <f t="shared" si="62"/>
        <v>0</v>
      </c>
      <c r="D198" s="7"/>
      <c r="E198" s="7"/>
      <c r="F198" s="7" t="s">
        <v>96</v>
      </c>
      <c r="G198" s="111">
        <f>($J$270)</f>
        <v>-55.296948805224254</v>
      </c>
      <c r="H198" s="111" t="s">
        <v>125</v>
      </c>
      <c r="I198" s="111">
        <f>($K$270)</f>
        <v>-74.303333301779801</v>
      </c>
      <c r="J198" s="111" t="s">
        <v>125</v>
      </c>
      <c r="K198" s="111">
        <f>($L$270)</f>
        <v>-70.655358198372596</v>
      </c>
      <c r="L198" s="111" t="s">
        <v>125</v>
      </c>
      <c r="M198" s="7"/>
      <c r="N198" s="7" t="s">
        <v>130</v>
      </c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 t="s">
        <v>131</v>
      </c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">
      <c r="A201" s="7" t="s">
        <v>132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">
      <c r="A202" s="7"/>
      <c r="B202" s="7" t="s">
        <v>118</v>
      </c>
      <c r="C202" s="7" t="s">
        <v>118</v>
      </c>
      <c r="D202" s="7"/>
      <c r="E202" s="7" t="s">
        <v>119</v>
      </c>
      <c r="F202" s="7" t="s">
        <v>119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">
      <c r="A203" s="7" t="s">
        <v>17</v>
      </c>
      <c r="B203" s="7" t="s">
        <v>133</v>
      </c>
      <c r="C203" s="7" t="s">
        <v>134</v>
      </c>
      <c r="D203" s="7"/>
      <c r="E203" s="7" t="s">
        <v>133</v>
      </c>
      <c r="F203" s="7" t="s">
        <v>134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">
      <c r="A204" s="7" t="s">
        <v>81</v>
      </c>
      <c r="B204" s="7">
        <v>8.6514190000000006</v>
      </c>
      <c r="C204" s="7">
        <v>0.58043800000000001</v>
      </c>
      <c r="D204" s="7"/>
      <c r="E204" s="7">
        <v>8.7073479999999996</v>
      </c>
      <c r="F204" s="7">
        <v>0.52812999999999999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">
      <c r="A205" s="7" t="s">
        <v>18</v>
      </c>
      <c r="B205" s="7">
        <v>211.338086</v>
      </c>
      <c r="C205" s="7">
        <v>17.374327000000001</v>
      </c>
      <c r="D205" s="7"/>
      <c r="E205" s="7">
        <v>208.186678</v>
      </c>
      <c r="F205" s="7">
        <v>18.149553000000001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">
      <c r="A206" s="7" t="s">
        <v>20</v>
      </c>
      <c r="B206" s="7">
        <v>315.83982600000002</v>
      </c>
      <c r="C206" s="7">
        <v>25.694735999999999</v>
      </c>
      <c r="D206" s="7"/>
      <c r="E206" s="7">
        <v>311.36878999999999</v>
      </c>
      <c r="F206" s="7">
        <v>22.988439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">
      <c r="A207" s="7" t="s">
        <v>21</v>
      </c>
      <c r="B207" s="7">
        <v>30.967804999999998</v>
      </c>
      <c r="C207" s="7">
        <v>9.4918770000000006</v>
      </c>
      <c r="D207" s="7"/>
      <c r="E207" s="7">
        <v>28.604565999999998</v>
      </c>
      <c r="F207" s="7">
        <v>7.8486739999999999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">
      <c r="A208" s="7" t="s">
        <v>22</v>
      </c>
      <c r="B208" s="7">
        <v>8.3467199999999995</v>
      </c>
      <c r="C208" s="7">
        <v>5.8737680000000001</v>
      </c>
      <c r="D208" s="7"/>
      <c r="E208" s="7">
        <v>7.0017719999999999</v>
      </c>
      <c r="F208" s="7">
        <v>4.988003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">
      <c r="A209" s="7" t="s">
        <v>86</v>
      </c>
      <c r="B209" s="7">
        <v>0.91251199999999999</v>
      </c>
      <c r="C209" s="7">
        <v>1.249609</v>
      </c>
      <c r="D209" s="7"/>
      <c r="E209" s="7">
        <v>1.2668429999999999</v>
      </c>
      <c r="F209" s="7">
        <v>1.3106040000000001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">
      <c r="A210" s="7" t="s">
        <v>23</v>
      </c>
      <c r="B210" s="7">
        <v>193.57424499999999</v>
      </c>
      <c r="C210" s="7">
        <v>130.37465700000001</v>
      </c>
      <c r="D210" s="7"/>
      <c r="E210" s="7">
        <v>174.036113</v>
      </c>
      <c r="F210" s="7">
        <v>137.356549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">
      <c r="A211" s="7" t="s">
        <v>25</v>
      </c>
      <c r="B211" s="7">
        <v>1.365963</v>
      </c>
      <c r="C211" s="7">
        <v>0.444768</v>
      </c>
      <c r="D211" s="7"/>
      <c r="E211" s="7">
        <v>1.0929850000000001</v>
      </c>
      <c r="F211" s="7">
        <v>0.563303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 t="s">
        <v>135</v>
      </c>
      <c r="L213" s="7"/>
      <c r="M213" s="7"/>
      <c r="N213" s="7" t="s">
        <v>136</v>
      </c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 t="s">
        <v>118</v>
      </c>
      <c r="L214" s="7" t="s">
        <v>118</v>
      </c>
      <c r="M214" s="7" t="s">
        <v>118</v>
      </c>
      <c r="N214" s="7" t="s">
        <v>118</v>
      </c>
      <c r="O214" s="7" t="s">
        <v>118</v>
      </c>
      <c r="P214" s="7" t="s">
        <v>118</v>
      </c>
      <c r="Q214" s="7"/>
      <c r="R214" s="7" t="s">
        <v>119</v>
      </c>
      <c r="S214" s="7" t="s">
        <v>119</v>
      </c>
      <c r="T214" s="7" t="s">
        <v>119</v>
      </c>
      <c r="U214" s="7" t="s">
        <v>119</v>
      </c>
      <c r="V214" s="7" t="s">
        <v>119</v>
      </c>
      <c r="W214" s="7" t="s">
        <v>119</v>
      </c>
      <c r="X214" s="7"/>
      <c r="Y214" s="7"/>
      <c r="Z214" s="7"/>
    </row>
    <row r="215" spans="1:26" ht="15.75" customHeight="1" x14ac:dyDescent="0.2">
      <c r="A215" s="7" t="s">
        <v>137</v>
      </c>
      <c r="B215" s="7"/>
      <c r="C215" s="7"/>
      <c r="D215" s="7"/>
      <c r="E215" s="7"/>
      <c r="F215" s="7"/>
      <c r="G215" s="7" t="s">
        <v>117</v>
      </c>
      <c r="H215" s="7"/>
      <c r="I215" s="7"/>
      <c r="J215" s="7"/>
      <c r="K215" s="7" t="s">
        <v>123</v>
      </c>
      <c r="L215" s="7" t="s">
        <v>123</v>
      </c>
      <c r="M215" s="7" t="s">
        <v>122</v>
      </c>
      <c r="N215" s="7" t="s">
        <v>122</v>
      </c>
      <c r="O215" s="7" t="s">
        <v>122</v>
      </c>
      <c r="P215" s="7" t="s">
        <v>122</v>
      </c>
      <c r="Q215" s="7"/>
      <c r="R215" s="7" t="s">
        <v>123</v>
      </c>
      <c r="S215" s="7" t="s">
        <v>123</v>
      </c>
      <c r="T215" s="7" t="s">
        <v>122</v>
      </c>
      <c r="U215" s="7" t="s">
        <v>122</v>
      </c>
      <c r="V215" s="7" t="s">
        <v>122</v>
      </c>
      <c r="W215" s="7" t="s">
        <v>122</v>
      </c>
      <c r="X215" s="7"/>
      <c r="Y215" s="7"/>
      <c r="Z215" s="7"/>
    </row>
    <row r="216" spans="1:26" ht="15.75" customHeight="1" x14ac:dyDescent="0.2">
      <c r="A216" s="7"/>
      <c r="B216" s="7" t="s">
        <v>116</v>
      </c>
      <c r="C216" s="7" t="s">
        <v>116</v>
      </c>
      <c r="D216" s="7"/>
      <c r="E216" s="7" t="s">
        <v>117</v>
      </c>
      <c r="F216" s="7" t="s">
        <v>94</v>
      </c>
      <c r="G216" s="7" t="s">
        <v>95</v>
      </c>
      <c r="H216" s="7" t="s">
        <v>138</v>
      </c>
      <c r="I216" s="7"/>
      <c r="J216" s="7" t="s">
        <v>139</v>
      </c>
      <c r="K216" s="7" t="s">
        <v>94</v>
      </c>
      <c r="L216" s="7" t="s">
        <v>95</v>
      </c>
      <c r="M216" s="7" t="s">
        <v>25</v>
      </c>
      <c r="N216" s="7" t="s">
        <v>126</v>
      </c>
      <c r="O216" s="7" t="s">
        <v>128</v>
      </c>
      <c r="P216" s="7" t="s">
        <v>129</v>
      </c>
      <c r="Q216" s="7"/>
      <c r="R216" s="7" t="s">
        <v>94</v>
      </c>
      <c r="S216" s="7" t="s">
        <v>95</v>
      </c>
      <c r="T216" s="7" t="s">
        <v>25</v>
      </c>
      <c r="U216" s="7" t="s">
        <v>126</v>
      </c>
      <c r="V216" s="7" t="s">
        <v>128</v>
      </c>
      <c r="W216" s="7" t="s">
        <v>129</v>
      </c>
      <c r="X216" s="7"/>
      <c r="Y216" s="7"/>
      <c r="Z216" s="7"/>
    </row>
    <row r="217" spans="1:26" ht="15.75" customHeight="1" x14ac:dyDescent="0.2">
      <c r="A217" s="7" t="s">
        <v>17</v>
      </c>
      <c r="B217" s="7" t="s">
        <v>118</v>
      </c>
      <c r="C217" s="7" t="s">
        <v>119</v>
      </c>
      <c r="D217" s="7"/>
      <c r="E217" s="7" t="s">
        <v>118</v>
      </c>
      <c r="F217" s="7" t="s">
        <v>119</v>
      </c>
      <c r="G217" s="7" t="s">
        <v>119</v>
      </c>
      <c r="H217" s="7" t="s">
        <v>119</v>
      </c>
      <c r="I217" s="7"/>
      <c r="J217" s="7" t="s">
        <v>140</v>
      </c>
      <c r="K217" s="110">
        <v>-0.108411656</v>
      </c>
      <c r="L217" s="110">
        <v>-0.80726502</v>
      </c>
      <c r="M217" s="110">
        <v>2.9937382000000001</v>
      </c>
      <c r="N217" s="110">
        <v>0.66825699999999999</v>
      </c>
      <c r="O217" s="110">
        <v>2.0419170000000002</v>
      </c>
      <c r="P217" s="110">
        <v>1.041177</v>
      </c>
      <c r="Q217" s="7"/>
      <c r="R217" s="110">
        <v>-0.68263669999999999</v>
      </c>
      <c r="S217" s="110">
        <v>-1.1555500000000001</v>
      </c>
      <c r="T217" s="110">
        <v>2.0148609999999998</v>
      </c>
      <c r="U217" s="110">
        <v>-0.12765000000000001</v>
      </c>
      <c r="V217" s="110">
        <v>0.56906999999999996</v>
      </c>
      <c r="W217" s="110">
        <v>-0.50722</v>
      </c>
      <c r="X217" s="7"/>
      <c r="Y217" s="7"/>
      <c r="Z217" s="7"/>
    </row>
    <row r="218" spans="1:26" ht="15.75" customHeight="1" x14ac:dyDescent="0.2">
      <c r="A218" s="7" t="s">
        <v>81</v>
      </c>
      <c r="B218" s="7">
        <v>-2.8451255775810691</v>
      </c>
      <c r="C218" s="7">
        <v>-3.2328176774657749</v>
      </c>
      <c r="D218" s="7"/>
      <c r="E218" s="7">
        <v>-2.8451255775810691</v>
      </c>
      <c r="F218" s="7">
        <v>-3.2328176774657749</v>
      </c>
      <c r="G218" s="7">
        <v>-3.2328176774657749</v>
      </c>
      <c r="H218" s="7">
        <v>-3.2328176774657749</v>
      </c>
      <c r="I218" s="7"/>
      <c r="J218" s="7" t="s">
        <v>81</v>
      </c>
      <c r="K218" s="110">
        <v>0</v>
      </c>
      <c r="L218" s="110">
        <v>0</v>
      </c>
      <c r="M218" s="110">
        <v>0</v>
      </c>
      <c r="N218" s="110">
        <v>0</v>
      </c>
      <c r="O218" s="110">
        <v>0</v>
      </c>
      <c r="P218" s="110">
        <v>0</v>
      </c>
      <c r="Q218" s="110"/>
      <c r="R218" s="110">
        <v>0</v>
      </c>
      <c r="S218" s="110">
        <v>0</v>
      </c>
      <c r="T218" s="110">
        <v>0</v>
      </c>
      <c r="U218" s="110">
        <v>0</v>
      </c>
      <c r="V218" s="110">
        <v>0</v>
      </c>
      <c r="W218" s="110">
        <v>0</v>
      </c>
      <c r="X218" s="7"/>
      <c r="Y218" s="7"/>
      <c r="Z218" s="7"/>
    </row>
    <row r="219" spans="1:26" ht="15.75" customHeight="1" x14ac:dyDescent="0.2">
      <c r="A219" s="7" t="s">
        <v>18</v>
      </c>
      <c r="B219" s="7">
        <f t="shared" ref="B219:B225" si="63">(B192-B205)/C205</f>
        <v>-7.7015126974414844E-2</v>
      </c>
      <c r="C219" s="7">
        <f t="shared" ref="C219:C225" si="64">(B192-E205)/F205</f>
        <v>9.9910008802971587E-2</v>
      </c>
      <c r="D219" s="7"/>
      <c r="E219" s="7">
        <f t="shared" ref="E219:E225" si="65">(C192-B205)/C205</f>
        <v>-7.5593193336351963</v>
      </c>
      <c r="F219" s="7">
        <f t="shared" ref="F219:F220" si="66">(C192-E205)/F205</f>
        <v>-7.0628008304116356</v>
      </c>
      <c r="G219" s="7">
        <f t="shared" ref="G219:G222" si="67">(A256-E205)/F205</f>
        <v>-1.4813961533928681</v>
      </c>
      <c r="H219" s="7">
        <f t="shared" ref="H219:H220" si="68">(C192-E205)/F205</f>
        <v>-7.0628008304116356</v>
      </c>
      <c r="I219" s="7"/>
      <c r="J219" s="7" t="s">
        <v>18</v>
      </c>
      <c r="K219" s="110">
        <v>-1.1613780000000001E-2</v>
      </c>
      <c r="L219" s="110">
        <v>5.6534359999999999E-2</v>
      </c>
      <c r="M219" s="110">
        <v>0</v>
      </c>
      <c r="N219" s="110">
        <v>0</v>
      </c>
      <c r="O219" s="110">
        <v>0</v>
      </c>
      <c r="P219" s="110">
        <v>0</v>
      </c>
      <c r="Q219" s="110"/>
      <c r="R219" s="110">
        <v>1.95233E-3</v>
      </c>
      <c r="S219" s="110">
        <v>7.6436841000000005E-2</v>
      </c>
      <c r="T219" s="110">
        <v>5.2415999999999997E-2</v>
      </c>
      <c r="U219" s="110">
        <v>5.8140999999999998E-2</v>
      </c>
      <c r="V219" s="110">
        <v>0</v>
      </c>
      <c r="W219" s="110">
        <v>8.1309999999999993E-2</v>
      </c>
      <c r="X219" s="7"/>
      <c r="Y219" s="7"/>
      <c r="Z219" s="7"/>
    </row>
    <row r="220" spans="1:26" ht="15.75" customHeight="1" x14ac:dyDescent="0.2">
      <c r="A220" s="7" t="s">
        <v>20</v>
      </c>
      <c r="B220" s="7">
        <f t="shared" si="63"/>
        <v>-0.61646190877384444</v>
      </c>
      <c r="C220" s="7">
        <f t="shared" si="64"/>
        <v>-0.49454380090792549</v>
      </c>
      <c r="D220" s="7"/>
      <c r="E220" s="7">
        <f t="shared" si="65"/>
        <v>-12.330923579055259</v>
      </c>
      <c r="F220" s="7">
        <f t="shared" si="66"/>
        <v>-13.588081817995558</v>
      </c>
      <c r="G220" s="7">
        <f t="shared" si="67"/>
        <v>-3.3176415327722079E-2</v>
      </c>
      <c r="H220" s="7">
        <f t="shared" si="68"/>
        <v>-13.588081817995558</v>
      </c>
      <c r="I220" s="7"/>
      <c r="J220" s="7" t="s">
        <v>20</v>
      </c>
      <c r="K220" s="110">
        <v>3.41764E-3</v>
      </c>
      <c r="L220" s="110">
        <v>1.7858354999999999E-2</v>
      </c>
      <c r="M220" s="110">
        <v>0</v>
      </c>
      <c r="N220" s="110">
        <v>0.16520599999999999</v>
      </c>
      <c r="O220" s="110">
        <v>0</v>
      </c>
      <c r="P220" s="110">
        <v>0</v>
      </c>
      <c r="Q220" s="110"/>
      <c r="R220" s="110">
        <v>-8.20391E-3</v>
      </c>
      <c r="S220" s="110">
        <v>3.8947849E-2</v>
      </c>
      <c r="T220" s="110">
        <v>0</v>
      </c>
      <c r="U220" s="110">
        <v>8.9543999999999999E-2</v>
      </c>
      <c r="V220" s="110">
        <v>8.1895999999999997E-2</v>
      </c>
      <c r="W220" s="110">
        <v>7.0102999999999999E-2</v>
      </c>
      <c r="X220" s="7"/>
      <c r="Y220" s="7"/>
      <c r="Z220" s="7"/>
    </row>
    <row r="221" spans="1:26" ht="15.75" customHeight="1" x14ac:dyDescent="0.2">
      <c r="A221" s="7" t="s">
        <v>21</v>
      </c>
      <c r="B221" s="7">
        <f t="shared" si="63"/>
        <v>-0.62872759518480892</v>
      </c>
      <c r="C221" s="7">
        <f t="shared" si="64"/>
        <v>-0.45925795873290171</v>
      </c>
      <c r="D221" s="7"/>
      <c r="E221" s="7">
        <f t="shared" si="65"/>
        <v>-3.2520232826447284</v>
      </c>
      <c r="F221" s="7">
        <f t="shared" ref="F221:F225" si="69">(A258-E207)/F207</f>
        <v>-3.6317683725938927</v>
      </c>
      <c r="G221" s="7">
        <f t="shared" si="67"/>
        <v>-3.6317683725938927</v>
      </c>
      <c r="H221" s="7">
        <f t="shared" ref="H221:H222" si="70">(A258-E207)/F207</f>
        <v>-3.6317683725938927</v>
      </c>
      <c r="I221" s="7"/>
      <c r="J221" s="7" t="s">
        <v>21</v>
      </c>
      <c r="K221" s="110">
        <v>5.4282909999999997E-2</v>
      </c>
      <c r="L221" s="110">
        <v>-3.8446849999999998E-2</v>
      </c>
      <c r="M221" s="110">
        <v>0.15247520000000001</v>
      </c>
      <c r="N221" s="110">
        <v>0</v>
      </c>
      <c r="O221" s="110">
        <v>-9.7540000000000002E-2</v>
      </c>
      <c r="P221" s="110">
        <v>-0.10224</v>
      </c>
      <c r="Q221" s="110"/>
      <c r="R221" s="110">
        <v>4.1543040000000002E-3</v>
      </c>
      <c r="S221" s="110">
        <v>1.368326E-3</v>
      </c>
      <c r="T221" s="110">
        <v>0.169401</v>
      </c>
      <c r="U221" s="110">
        <v>-4.8619999999999997E-2</v>
      </c>
      <c r="V221" s="110">
        <v>-7.2480000000000003E-2</v>
      </c>
      <c r="W221" s="110">
        <v>-6.6309999999999994E-2</v>
      </c>
      <c r="X221" s="7"/>
      <c r="Y221" s="7"/>
      <c r="Z221" s="7"/>
    </row>
    <row r="222" spans="1:26" ht="15.75" customHeight="1" x14ac:dyDescent="0.2">
      <c r="A222" s="7" t="s">
        <v>22</v>
      </c>
      <c r="B222" s="7">
        <f t="shared" si="63"/>
        <v>-0.39952548347159772</v>
      </c>
      <c r="C222" s="7">
        <f t="shared" si="64"/>
        <v>-0.2008362865860345</v>
      </c>
      <c r="D222" s="7"/>
      <c r="E222" s="7">
        <f t="shared" si="65"/>
        <v>-1.4210162880113753</v>
      </c>
      <c r="F222" s="7">
        <f t="shared" si="69"/>
        <v>-1.4037224917466971</v>
      </c>
      <c r="G222" s="7">
        <f t="shared" si="67"/>
        <v>-1.4037224917466971</v>
      </c>
      <c r="H222" s="7">
        <f t="shared" si="70"/>
        <v>-1.4037224917466971</v>
      </c>
      <c r="I222" s="7"/>
      <c r="J222" s="7" t="s">
        <v>22</v>
      </c>
      <c r="K222" s="110">
        <v>2.292342E-2</v>
      </c>
      <c r="L222" s="110">
        <v>-2.1005159999999998E-2</v>
      </c>
      <c r="M222" s="110">
        <v>0</v>
      </c>
      <c r="N222" s="110">
        <v>0.15070700000000001</v>
      </c>
      <c r="O222" s="110">
        <v>0</v>
      </c>
      <c r="P222" s="110">
        <v>0</v>
      </c>
      <c r="Q222" s="110"/>
      <c r="R222" s="110">
        <v>2.5949698E-2</v>
      </c>
      <c r="S222" s="110">
        <v>-6.8736999999999999E-3</v>
      </c>
      <c r="T222" s="110">
        <v>2.1579999999999998E-2</v>
      </c>
      <c r="U222" s="110">
        <v>0.135542</v>
      </c>
      <c r="V222" s="110">
        <v>0</v>
      </c>
      <c r="W222" s="110">
        <v>0</v>
      </c>
      <c r="X222" s="7"/>
      <c r="Y222" s="7"/>
      <c r="Z222" s="7"/>
    </row>
    <row r="223" spans="1:26" ht="15.75" customHeight="1" x14ac:dyDescent="0.2">
      <c r="A223" s="7" t="s">
        <v>86</v>
      </c>
      <c r="B223" s="7">
        <f t="shared" si="63"/>
        <v>0.87026261814695638</v>
      </c>
      <c r="C223" s="7">
        <f t="shared" si="64"/>
        <v>0.55940390842695431</v>
      </c>
      <c r="D223" s="7"/>
      <c r="E223" s="7">
        <f t="shared" si="65"/>
        <v>0.87026261814695638</v>
      </c>
      <c r="F223" s="7">
        <f t="shared" si="69"/>
        <v>0.55940390842695431</v>
      </c>
      <c r="G223" s="7">
        <f>(C196-E209)/F209</f>
        <v>0.55940390842695431</v>
      </c>
      <c r="H223" s="7">
        <f>(C196-E209)/F209</f>
        <v>0.55940390842695431</v>
      </c>
      <c r="I223" s="7"/>
      <c r="J223" s="7" t="s">
        <v>86</v>
      </c>
      <c r="K223" s="110">
        <v>1.4395079999999999E-2</v>
      </c>
      <c r="L223" s="110">
        <v>-2.7356559999999999E-2</v>
      </c>
      <c r="M223" s="110">
        <v>-3.4762000000000001E-2</v>
      </c>
      <c r="N223" s="110">
        <v>0</v>
      </c>
      <c r="O223" s="110">
        <v>0.15329100000000001</v>
      </c>
      <c r="P223" s="110">
        <v>0</v>
      </c>
      <c r="Q223" s="110"/>
      <c r="R223" s="110">
        <v>-8.9918789999999995E-3</v>
      </c>
      <c r="S223" s="110">
        <v>-1.035001E-2</v>
      </c>
      <c r="T223" s="110">
        <v>2.2391999999999999E-2</v>
      </c>
      <c r="U223" s="110">
        <v>0</v>
      </c>
      <c r="V223" s="110">
        <v>7.3394000000000001E-2</v>
      </c>
      <c r="W223" s="110">
        <v>8.4501000000000007E-2</v>
      </c>
      <c r="X223" s="7"/>
      <c r="Y223" s="7"/>
      <c r="Z223" s="7"/>
    </row>
    <row r="224" spans="1:26" ht="15.75" customHeight="1" x14ac:dyDescent="0.2">
      <c r="A224" s="7" t="s">
        <v>23</v>
      </c>
      <c r="B224" s="7">
        <f t="shared" si="63"/>
        <v>-1.1779455343073306</v>
      </c>
      <c r="C224" s="7">
        <f t="shared" si="64"/>
        <v>-0.97582615445587528</v>
      </c>
      <c r="D224" s="7"/>
      <c r="E224" s="7">
        <f t="shared" si="65"/>
        <v>-1.4770834258072101</v>
      </c>
      <c r="F224" s="7">
        <f t="shared" si="69"/>
        <v>-1.2597587392793335</v>
      </c>
      <c r="G224" s="7">
        <f t="shared" ref="G224:G225" si="71">(A261-E210)/F210</f>
        <v>-1.2597587392793335</v>
      </c>
      <c r="H224" s="7">
        <f t="shared" ref="H224:H225" si="72">(A261-E210)/F210</f>
        <v>-1.2597587392793335</v>
      </c>
      <c r="I224" s="7"/>
      <c r="J224" s="7" t="s">
        <v>23</v>
      </c>
      <c r="K224" s="110">
        <v>1.785987E-2</v>
      </c>
      <c r="L224" s="110">
        <v>1.9335750000000001E-3</v>
      </c>
      <c r="M224" s="110">
        <v>7.2314100000000006E-2</v>
      </c>
      <c r="N224" s="110">
        <v>0</v>
      </c>
      <c r="O224" s="110">
        <v>-0.18010999999999999</v>
      </c>
      <c r="P224" s="110">
        <v>0</v>
      </c>
      <c r="Q224" s="110"/>
      <c r="R224" s="110">
        <v>5.0086115E-2</v>
      </c>
      <c r="S224" s="110">
        <v>0.11690368199999999</v>
      </c>
      <c r="T224" s="110">
        <v>0.140432</v>
      </c>
      <c r="U224" s="110">
        <v>6.0077999999999999E-2</v>
      </c>
      <c r="V224" s="110">
        <v>-4.4720000000000003E-2</v>
      </c>
      <c r="W224" s="110">
        <v>0</v>
      </c>
      <c r="X224" s="7"/>
      <c r="Y224" s="7"/>
      <c r="Z224" s="7"/>
    </row>
    <row r="225" spans="1:26" ht="15.75" customHeight="1" x14ac:dyDescent="0.2">
      <c r="A225" s="7" t="s">
        <v>25</v>
      </c>
      <c r="B225" s="7">
        <f t="shared" si="63"/>
        <v>-0.82281773868623653</v>
      </c>
      <c r="C225" s="7">
        <f t="shared" si="64"/>
        <v>-0.16507101861697895</v>
      </c>
      <c r="D225" s="7"/>
      <c r="E225" s="7">
        <f t="shared" si="65"/>
        <v>-3.0711809302827544</v>
      </c>
      <c r="F225" s="7">
        <f t="shared" si="69"/>
        <v>-1.9403145376467019</v>
      </c>
      <c r="G225" s="7">
        <f t="shared" si="71"/>
        <v>-1.9403145376467019</v>
      </c>
      <c r="H225" s="7">
        <f t="shared" si="72"/>
        <v>-1.9403145376467019</v>
      </c>
      <c r="I225" s="7"/>
      <c r="J225" s="7" t="s">
        <v>25</v>
      </c>
      <c r="K225" s="110">
        <v>0</v>
      </c>
      <c r="L225" s="110">
        <v>0</v>
      </c>
      <c r="M225" s="110">
        <v>0.12359489999999999</v>
      </c>
      <c r="N225" s="110">
        <v>0</v>
      </c>
      <c r="O225" s="110">
        <v>0</v>
      </c>
      <c r="P225" s="110">
        <v>0</v>
      </c>
      <c r="Q225" s="110"/>
      <c r="R225" s="110">
        <v>0</v>
      </c>
      <c r="S225" s="110">
        <v>0</v>
      </c>
      <c r="T225" s="110">
        <v>0.145341</v>
      </c>
      <c r="U225" s="110">
        <v>0</v>
      </c>
      <c r="V225" s="110">
        <v>0</v>
      </c>
      <c r="W225" s="110">
        <v>0</v>
      </c>
      <c r="X225" s="7"/>
      <c r="Y225" s="7"/>
      <c r="Z225" s="7"/>
    </row>
    <row r="226" spans="1:26" ht="15.75" customHeight="1" x14ac:dyDescent="0.2">
      <c r="A226" s="7" t="s">
        <v>141</v>
      </c>
      <c r="B226" s="7">
        <f t="shared" ref="B226:C226" si="73">(B218*B218)</f>
        <v>8.0947395522060113</v>
      </c>
      <c r="C226" s="7">
        <f t="shared" si="73"/>
        <v>10.451110135735206</v>
      </c>
      <c r="D226" s="7"/>
      <c r="E226" s="7">
        <f t="shared" ref="E226:H226" si="74">(E218*E218)</f>
        <v>8.0947395522060113</v>
      </c>
      <c r="F226" s="7">
        <f t="shared" si="74"/>
        <v>10.451110135735206</v>
      </c>
      <c r="G226" s="7">
        <f t="shared" si="74"/>
        <v>10.451110135735206</v>
      </c>
      <c r="H226" s="7">
        <f t="shared" si="74"/>
        <v>10.451110135735206</v>
      </c>
      <c r="I226" s="7"/>
      <c r="J226" s="7" t="s">
        <v>141</v>
      </c>
      <c r="K226" s="110">
        <v>0</v>
      </c>
      <c r="L226" s="110">
        <v>0</v>
      </c>
      <c r="M226" s="110">
        <v>0</v>
      </c>
      <c r="N226" s="110">
        <v>0</v>
      </c>
      <c r="O226" s="110">
        <v>0</v>
      </c>
      <c r="P226" s="110">
        <v>0</v>
      </c>
      <c r="Q226" s="110"/>
      <c r="R226" s="110">
        <v>0</v>
      </c>
      <c r="S226" s="110">
        <v>0</v>
      </c>
      <c r="T226" s="110">
        <v>0</v>
      </c>
      <c r="U226" s="110">
        <v>0</v>
      </c>
      <c r="V226" s="110">
        <v>0</v>
      </c>
      <c r="W226" s="110">
        <v>0</v>
      </c>
      <c r="X226" s="7"/>
      <c r="Y226" s="7"/>
      <c r="Z226" s="7"/>
    </row>
    <row r="227" spans="1:26" ht="15.75" customHeight="1" x14ac:dyDescent="0.2">
      <c r="A227" s="7" t="s">
        <v>142</v>
      </c>
      <c r="B227" s="7">
        <f t="shared" ref="B227:C227" si="75">(B218*B219)</f>
        <v>0.2191177076155614</v>
      </c>
      <c r="C227" s="7">
        <f t="shared" si="75"/>
        <v>-0.32299084261400773</v>
      </c>
      <c r="D227" s="7"/>
      <c r="E227" s="7">
        <f t="shared" ref="E227:H227" si="76">(E218*E219)</f>
        <v>21.507212785228582</v>
      </c>
      <c r="F227" s="7">
        <f t="shared" si="76"/>
        <v>22.832747376974691</v>
      </c>
      <c r="G227" s="7">
        <f t="shared" si="76"/>
        <v>4.7890836720182648</v>
      </c>
      <c r="H227" s="7">
        <f t="shared" si="76"/>
        <v>22.832747376974691</v>
      </c>
      <c r="I227" s="7"/>
      <c r="J227" s="7" t="s">
        <v>142</v>
      </c>
      <c r="K227" s="110">
        <v>0</v>
      </c>
      <c r="L227" s="110">
        <v>0</v>
      </c>
      <c r="M227" s="110">
        <v>0</v>
      </c>
      <c r="N227" s="110">
        <v>0</v>
      </c>
      <c r="O227" s="110">
        <v>0</v>
      </c>
      <c r="P227" s="110">
        <v>0</v>
      </c>
      <c r="Q227" s="110"/>
      <c r="R227" s="110">
        <v>0</v>
      </c>
      <c r="S227" s="110">
        <v>0</v>
      </c>
      <c r="T227" s="110">
        <v>0</v>
      </c>
      <c r="U227" s="110">
        <v>0</v>
      </c>
      <c r="V227" s="110">
        <v>0</v>
      </c>
      <c r="W227" s="110">
        <v>0</v>
      </c>
      <c r="X227" s="7"/>
      <c r="Y227" s="7"/>
      <c r="Z227" s="7"/>
    </row>
    <row r="228" spans="1:26" ht="15.75" customHeight="1" x14ac:dyDescent="0.2">
      <c r="A228" s="7" t="s">
        <v>143</v>
      </c>
      <c r="B228" s="7">
        <f t="shared" ref="B228:C228" si="77">(B218*B223)</f>
        <v>-2.4760064341025725</v>
      </c>
      <c r="C228" s="7">
        <f t="shared" si="77"/>
        <v>-1.8084508440061033</v>
      </c>
      <c r="D228" s="7"/>
      <c r="E228" s="7">
        <f t="shared" ref="E228:H228" si="78">(E218*E223)</f>
        <v>-2.4760064341025725</v>
      </c>
      <c r="F228" s="7">
        <f t="shared" si="78"/>
        <v>-1.8084508440061033</v>
      </c>
      <c r="G228" s="7">
        <f t="shared" si="78"/>
        <v>-1.8084508440061033</v>
      </c>
      <c r="H228" s="7">
        <f t="shared" si="78"/>
        <v>-1.8084508440061033</v>
      </c>
      <c r="I228" s="7"/>
      <c r="J228" s="7" t="s">
        <v>143</v>
      </c>
      <c r="K228" s="110">
        <v>0</v>
      </c>
      <c r="L228" s="110">
        <v>0</v>
      </c>
      <c r="M228" s="110">
        <v>0</v>
      </c>
      <c r="N228" s="110">
        <v>0</v>
      </c>
      <c r="O228" s="110">
        <v>0</v>
      </c>
      <c r="P228" s="110">
        <v>0</v>
      </c>
      <c r="Q228" s="110"/>
      <c r="R228" s="110">
        <v>0</v>
      </c>
      <c r="S228" s="110">
        <v>0</v>
      </c>
      <c r="T228" s="110">
        <v>0</v>
      </c>
      <c r="U228" s="110">
        <v>0</v>
      </c>
      <c r="V228" s="110">
        <v>0</v>
      </c>
      <c r="W228" s="110">
        <v>0</v>
      </c>
      <c r="X228" s="7"/>
      <c r="Y228" s="7"/>
      <c r="Z228" s="7"/>
    </row>
    <row r="229" spans="1:26" ht="15.75" customHeight="1" x14ac:dyDescent="0.2">
      <c r="A229" s="7" t="s">
        <v>144</v>
      </c>
      <c r="B229" s="7">
        <f t="shared" ref="B229:C229" si="79">(B219*B219)</f>
        <v>5.931329782885241E-3</v>
      </c>
      <c r="C229" s="7">
        <f t="shared" si="79"/>
        <v>9.9820098590098598E-3</v>
      </c>
      <c r="D229" s="7"/>
      <c r="E229" s="7">
        <f t="shared" ref="E229:H229" si="80">(E219*E219)</f>
        <v>57.143308787870865</v>
      </c>
      <c r="F229" s="7">
        <f t="shared" si="80"/>
        <v>49.883155570063288</v>
      </c>
      <c r="G229" s="7">
        <f t="shared" si="80"/>
        <v>2.1945345632871862</v>
      </c>
      <c r="H229" s="7">
        <f t="shared" si="80"/>
        <v>49.883155570063288</v>
      </c>
      <c r="I229" s="7"/>
      <c r="J229" s="7" t="s">
        <v>144</v>
      </c>
      <c r="K229" s="110">
        <v>0</v>
      </c>
      <c r="L229" s="110">
        <v>0</v>
      </c>
      <c r="M229" s="110">
        <v>0</v>
      </c>
      <c r="N229" s="110">
        <v>0</v>
      </c>
      <c r="O229" s="110">
        <v>0</v>
      </c>
      <c r="P229" s="110">
        <v>0</v>
      </c>
      <c r="Q229" s="110"/>
      <c r="R229" s="110">
        <v>0</v>
      </c>
      <c r="S229" s="110">
        <v>2.5807976999999999E-2</v>
      </c>
      <c r="T229" s="110">
        <v>0</v>
      </c>
      <c r="U229" s="110">
        <v>0</v>
      </c>
      <c r="V229" s="110">
        <v>0</v>
      </c>
      <c r="W229" s="110">
        <v>0</v>
      </c>
      <c r="X229" s="7"/>
      <c r="Y229" s="7"/>
      <c r="Z229" s="7"/>
    </row>
    <row r="230" spans="1:26" ht="15.75" customHeight="1" x14ac:dyDescent="0.2">
      <c r="A230" s="7" t="s">
        <v>145</v>
      </c>
      <c r="B230" s="7">
        <f t="shared" ref="B230:C230" si="81">(B219*B220)</f>
        <v>4.747689217910777E-2</v>
      </c>
      <c r="C230" s="7">
        <f t="shared" si="81"/>
        <v>-4.9409875502165863E-2</v>
      </c>
      <c r="D230" s="7"/>
      <c r="E230" s="7">
        <f t="shared" ref="E230:H230" si="82">(E219*E220)</f>
        <v>93.213389012730531</v>
      </c>
      <c r="F230" s="7">
        <f t="shared" si="82"/>
        <v>95.969915547840273</v>
      </c>
      <c r="G230" s="7">
        <f t="shared" si="82"/>
        <v>4.9147414049851679E-2</v>
      </c>
      <c r="H230" s="7">
        <f t="shared" si="82"/>
        <v>95.969915547840273</v>
      </c>
      <c r="I230" s="7"/>
      <c r="J230" s="7" t="s">
        <v>145</v>
      </c>
      <c r="K230" s="110">
        <v>8.5768200000000006E-3</v>
      </c>
      <c r="L230" s="110">
        <v>0</v>
      </c>
      <c r="M230" s="110">
        <v>0</v>
      </c>
      <c r="N230" s="110">
        <v>0</v>
      </c>
      <c r="O230" s="110">
        <v>0</v>
      </c>
      <c r="P230" s="110">
        <v>0</v>
      </c>
      <c r="Q230" s="110"/>
      <c r="R230" s="110">
        <v>0</v>
      </c>
      <c r="S230" s="110">
        <v>0</v>
      </c>
      <c r="T230" s="110">
        <v>0</v>
      </c>
      <c r="U230" s="110">
        <v>0</v>
      </c>
      <c r="V230" s="110">
        <v>0</v>
      </c>
      <c r="W230" s="110">
        <v>0</v>
      </c>
      <c r="X230" s="7"/>
      <c r="Y230" s="7"/>
      <c r="Z230" s="7"/>
    </row>
    <row r="231" spans="1:26" ht="15.75" customHeight="1" x14ac:dyDescent="0.2">
      <c r="A231" s="7" t="s">
        <v>146</v>
      </c>
      <c r="B231" s="7">
        <f t="shared" ref="B231:C231" si="83">(B219*B223)</f>
        <v>-6.7023386037674548E-2</v>
      </c>
      <c r="C231" s="7">
        <f t="shared" si="83"/>
        <v>5.5890049415353714E-2</v>
      </c>
      <c r="D231" s="7"/>
      <c r="E231" s="7">
        <f t="shared" ref="E231:H231" si="84">(E219*E223)</f>
        <v>-6.5785930346982715</v>
      </c>
      <c r="F231" s="7">
        <f t="shared" si="84"/>
        <v>-3.9509583889734077</v>
      </c>
      <c r="G231" s="7">
        <f t="shared" si="84"/>
        <v>-0.82869879813662639</v>
      </c>
      <c r="H231" s="7">
        <f t="shared" si="84"/>
        <v>-3.9509583889734077</v>
      </c>
      <c r="I231" s="7"/>
      <c r="J231" s="7" t="s">
        <v>146</v>
      </c>
      <c r="K231" s="110">
        <v>0</v>
      </c>
      <c r="L231" s="110">
        <v>0</v>
      </c>
      <c r="M231" s="110">
        <v>0</v>
      </c>
      <c r="N231" s="110">
        <v>0</v>
      </c>
      <c r="O231" s="110">
        <v>0</v>
      </c>
      <c r="P231" s="110">
        <v>0</v>
      </c>
      <c r="Q231" s="110"/>
      <c r="R231" s="110">
        <v>0</v>
      </c>
      <c r="S231" s="110">
        <v>0</v>
      </c>
      <c r="T231" s="110">
        <v>0</v>
      </c>
      <c r="U231" s="110">
        <v>0</v>
      </c>
      <c r="V231" s="110">
        <v>0</v>
      </c>
      <c r="W231" s="110">
        <v>0</v>
      </c>
      <c r="X231" s="7"/>
      <c r="Y231" s="7"/>
      <c r="Z231" s="7"/>
    </row>
    <row r="232" spans="1:26" ht="15.75" customHeight="1" x14ac:dyDescent="0.2">
      <c r="A232" s="7" t="s">
        <v>147</v>
      </c>
      <c r="B232" s="7">
        <f t="shared" ref="B232:C232" si="85">(B220*B220)</f>
        <v>0.38002528496909171</v>
      </c>
      <c r="C232" s="7">
        <f t="shared" si="85"/>
        <v>0.24457357101645785</v>
      </c>
      <c r="D232" s="7"/>
      <c r="E232" s="7">
        <f t="shared" ref="E232:H232" si="86">(E220*E220)</f>
        <v>152.05167631250097</v>
      </c>
      <c r="F232" s="7">
        <f t="shared" si="86"/>
        <v>184.63596749254148</v>
      </c>
      <c r="G232" s="7">
        <f t="shared" si="86"/>
        <v>1.1006745339975125E-3</v>
      </c>
      <c r="H232" s="7">
        <f t="shared" si="86"/>
        <v>184.63596749254148</v>
      </c>
      <c r="I232" s="7"/>
      <c r="J232" s="7" t="s">
        <v>147</v>
      </c>
      <c r="K232" s="110">
        <v>0</v>
      </c>
      <c r="L232" s="110">
        <v>0</v>
      </c>
      <c r="M232" s="110">
        <v>0</v>
      </c>
      <c r="N232" s="110">
        <v>0</v>
      </c>
      <c r="O232" s="110">
        <v>0</v>
      </c>
      <c r="P232" s="110">
        <v>0</v>
      </c>
      <c r="Q232" s="110"/>
      <c r="R232" s="110">
        <v>0</v>
      </c>
      <c r="S232" s="110">
        <v>1.8209586E-2</v>
      </c>
      <c r="T232" s="110">
        <v>0</v>
      </c>
      <c r="U232" s="110">
        <v>0</v>
      </c>
      <c r="V232" s="110">
        <v>0</v>
      </c>
      <c r="W232" s="110">
        <v>0</v>
      </c>
      <c r="X232" s="7"/>
      <c r="Y232" s="7"/>
      <c r="Z232" s="7"/>
    </row>
    <row r="233" spans="1:26" ht="15.75" customHeight="1" x14ac:dyDescent="0.2">
      <c r="A233" s="7" t="s">
        <v>148</v>
      </c>
      <c r="B233" s="7">
        <f t="shared" ref="B233:C233" si="87">(B220*B223)</f>
        <v>-0.53648375471739607</v>
      </c>
      <c r="C233" s="7">
        <f t="shared" si="87"/>
        <v>-0.2766497351162151</v>
      </c>
      <c r="D233" s="7"/>
      <c r="E233" s="7">
        <f t="shared" ref="E233:H233" si="88">(E220*E223)</f>
        <v>-10.731141838078667</v>
      </c>
      <c r="F233" s="7">
        <f t="shared" si="88"/>
        <v>-7.6012260770119502</v>
      </c>
      <c r="G233" s="7">
        <f t="shared" si="88"/>
        <v>-1.8559016401923645E-2</v>
      </c>
      <c r="H233" s="7">
        <f t="shared" si="88"/>
        <v>-7.6012260770119502</v>
      </c>
      <c r="I233" s="7"/>
      <c r="J233" s="7" t="s">
        <v>148</v>
      </c>
      <c r="K233" s="110">
        <v>0</v>
      </c>
      <c r="L233" s="110">
        <v>0</v>
      </c>
      <c r="M233" s="110">
        <v>0</v>
      </c>
      <c r="N233" s="110">
        <v>0</v>
      </c>
      <c r="O233" s="110">
        <v>0</v>
      </c>
      <c r="P233" s="110">
        <v>0</v>
      </c>
      <c r="Q233" s="110"/>
      <c r="R233" s="110">
        <v>0</v>
      </c>
      <c r="S233" s="110">
        <v>1.5107193E-2</v>
      </c>
      <c r="T233" s="110">
        <v>0</v>
      </c>
      <c r="U233" s="110">
        <v>0</v>
      </c>
      <c r="V233" s="110">
        <v>0</v>
      </c>
      <c r="W233" s="110">
        <v>0</v>
      </c>
      <c r="X233" s="7"/>
      <c r="Y233" s="7"/>
      <c r="Z233" s="7"/>
    </row>
    <row r="234" spans="1:26" ht="15.75" customHeight="1" x14ac:dyDescent="0.2">
      <c r="A234" s="7" t="s">
        <v>149</v>
      </c>
      <c r="B234" s="7">
        <f t="shared" ref="B234:C234" si="89">(B220*B224)</f>
        <v>0.72615855251072314</v>
      </c>
      <c r="C234" s="7">
        <f t="shared" si="89"/>
        <v>0.48258877544997292</v>
      </c>
      <c r="D234" s="7"/>
      <c r="E234" s="7">
        <f t="shared" ref="E234:H234" si="90">(E220*E224)</f>
        <v>18.213802843517847</v>
      </c>
      <c r="F234" s="7">
        <f t="shared" si="90"/>
        <v>17.117704820262517</v>
      </c>
      <c r="G234" s="7">
        <f t="shared" si="90"/>
        <v>4.1794279147058723E-2</v>
      </c>
      <c r="H234" s="7">
        <f t="shared" si="90"/>
        <v>17.117704820262517</v>
      </c>
      <c r="I234" s="7"/>
      <c r="J234" s="7" t="s">
        <v>149</v>
      </c>
      <c r="K234" s="110">
        <v>0</v>
      </c>
      <c r="L234" s="110">
        <v>0</v>
      </c>
      <c r="M234" s="110">
        <v>0</v>
      </c>
      <c r="N234" s="110">
        <v>0</v>
      </c>
      <c r="O234" s="110">
        <v>0</v>
      </c>
      <c r="P234" s="110">
        <v>0</v>
      </c>
      <c r="Q234" s="110"/>
      <c r="R234" s="110">
        <v>0</v>
      </c>
      <c r="S234" s="110">
        <v>0</v>
      </c>
      <c r="T234" s="110">
        <v>0</v>
      </c>
      <c r="U234" s="110">
        <v>0</v>
      </c>
      <c r="V234" s="110">
        <v>0</v>
      </c>
      <c r="W234" s="110">
        <v>0</v>
      </c>
      <c r="X234" s="7"/>
      <c r="Y234" s="7"/>
      <c r="Z234" s="7"/>
    </row>
    <row r="235" spans="1:26" ht="15.75" customHeight="1" x14ac:dyDescent="0.2">
      <c r="A235" s="7" t="s">
        <v>150</v>
      </c>
      <c r="B235" s="7">
        <f t="shared" ref="B235:C235" si="91">(B220*B221)</f>
        <v>0.38758661342641626</v>
      </c>
      <c r="C235" s="7">
        <f t="shared" si="91"/>
        <v>0.22712317650898439</v>
      </c>
      <c r="D235" s="7"/>
      <c r="E235" s="7">
        <f t="shared" ref="E235:H235" si="92">(E220*E221)</f>
        <v>40.100450575600568</v>
      </c>
      <c r="F235" s="7">
        <f t="shared" si="92"/>
        <v>49.34876579081439</v>
      </c>
      <c r="G235" s="7">
        <f t="shared" si="92"/>
        <v>0.1204890559032603</v>
      </c>
      <c r="H235" s="7">
        <f t="shared" si="92"/>
        <v>49.34876579081439</v>
      </c>
      <c r="I235" s="7"/>
      <c r="J235" s="7" t="s">
        <v>150</v>
      </c>
      <c r="K235" s="110">
        <v>-9.7818000000000002E-3</v>
      </c>
      <c r="L235" s="110">
        <v>1.8225949000000002E-2</v>
      </c>
      <c r="M235" s="110">
        <v>0</v>
      </c>
      <c r="N235" s="110">
        <v>0</v>
      </c>
      <c r="O235" s="110">
        <v>0</v>
      </c>
      <c r="P235" s="110">
        <v>0</v>
      </c>
      <c r="Q235" s="110"/>
      <c r="R235" s="110">
        <v>0</v>
      </c>
      <c r="S235" s="110">
        <v>1.2076013E-2</v>
      </c>
      <c r="T235" s="110">
        <v>0</v>
      </c>
      <c r="U235" s="110">
        <v>0</v>
      </c>
      <c r="V235" s="110">
        <v>0</v>
      </c>
      <c r="W235" s="110">
        <v>0</v>
      </c>
      <c r="X235" s="7"/>
      <c r="Y235" s="7"/>
      <c r="Z235" s="7"/>
    </row>
    <row r="236" spans="1:26" ht="15.75" customHeight="1" x14ac:dyDescent="0.2">
      <c r="A236" s="7" t="s">
        <v>151</v>
      </c>
      <c r="B236" s="7">
        <f t="shared" ref="B236:C236" si="93">(B221*B221)</f>
        <v>0.39529838894687297</v>
      </c>
      <c r="C236" s="7">
        <f t="shared" si="93"/>
        <v>0.21091787265951165</v>
      </c>
      <c r="D236" s="7"/>
      <c r="E236" s="7">
        <f t="shared" ref="E236:H236" si="94">(E221*E221)</f>
        <v>10.575655430863396</v>
      </c>
      <c r="F236" s="7">
        <f t="shared" si="94"/>
        <v>13.189741512173292</v>
      </c>
      <c r="G236" s="7">
        <f t="shared" si="94"/>
        <v>13.189741512173292</v>
      </c>
      <c r="H236" s="7">
        <f t="shared" si="94"/>
        <v>13.189741512173292</v>
      </c>
      <c r="I236" s="7"/>
      <c r="J236" s="7" t="s">
        <v>151</v>
      </c>
      <c r="K236" s="110">
        <v>0</v>
      </c>
      <c r="L236" s="110">
        <v>0</v>
      </c>
      <c r="M236" s="110">
        <v>0</v>
      </c>
      <c r="N236" s="110">
        <v>0</v>
      </c>
      <c r="O236" s="110">
        <v>0</v>
      </c>
      <c r="P236" s="110">
        <v>0</v>
      </c>
      <c r="Q236" s="110"/>
      <c r="R236" s="110">
        <v>0</v>
      </c>
      <c r="S236" s="110">
        <v>-1.197286E-2</v>
      </c>
      <c r="T236" s="110">
        <v>0</v>
      </c>
      <c r="U236" s="110">
        <v>0</v>
      </c>
      <c r="V236" s="110">
        <v>0</v>
      </c>
      <c r="W236" s="110">
        <v>0</v>
      </c>
      <c r="X236" s="7"/>
      <c r="Y236" s="7"/>
      <c r="Z236" s="7"/>
    </row>
    <row r="237" spans="1:26" ht="15.75" customHeight="1" x14ac:dyDescent="0.2">
      <c r="A237" s="7" t="s">
        <v>152</v>
      </c>
      <c r="B237" s="7">
        <f t="shared" ref="B237:C237" si="95">(B221*B222)</f>
        <v>0.25119269643814574</v>
      </c>
      <c r="C237" s="7">
        <f t="shared" si="95"/>
        <v>9.2235663016998259E-2</v>
      </c>
      <c r="D237" s="7"/>
      <c r="E237" s="7">
        <f t="shared" ref="E237:H237" si="96">(E221*E222)</f>
        <v>4.6211780536303797</v>
      </c>
      <c r="F237" s="7">
        <f t="shared" si="96"/>
        <v>5.0979949494243462</v>
      </c>
      <c r="G237" s="7">
        <f t="shared" si="96"/>
        <v>5.0979949494243462</v>
      </c>
      <c r="H237" s="7">
        <f t="shared" si="96"/>
        <v>5.0979949494243462</v>
      </c>
      <c r="I237" s="7"/>
      <c r="J237" s="7" t="s">
        <v>152</v>
      </c>
      <c r="K237" s="110">
        <v>0</v>
      </c>
      <c r="L237" s="110">
        <v>0</v>
      </c>
      <c r="M237" s="110">
        <v>0</v>
      </c>
      <c r="N237" s="110">
        <v>0</v>
      </c>
      <c r="O237" s="110">
        <v>0</v>
      </c>
      <c r="P237" s="110">
        <v>0</v>
      </c>
      <c r="Q237" s="110"/>
      <c r="R237" s="110">
        <v>0</v>
      </c>
      <c r="S237" s="110">
        <v>0</v>
      </c>
      <c r="T237" s="110">
        <v>0</v>
      </c>
      <c r="U237" s="110">
        <v>0</v>
      </c>
      <c r="V237" s="110">
        <v>0</v>
      </c>
      <c r="W237" s="110">
        <v>0</v>
      </c>
      <c r="X237" s="7"/>
      <c r="Y237" s="7"/>
      <c r="Z237" s="7"/>
    </row>
    <row r="238" spans="1:26" ht="15.75" customHeight="1" x14ac:dyDescent="0.2">
      <c r="A238" s="7" t="s">
        <v>153</v>
      </c>
      <c r="B238" s="7">
        <f t="shared" ref="B238:C238" si="97">(B221*B223)</f>
        <v>-0.54715812308677159</v>
      </c>
      <c r="C238" s="7">
        <f t="shared" si="97"/>
        <v>-0.2569106970913701</v>
      </c>
      <c r="D238" s="7"/>
      <c r="E238" s="7">
        <f t="shared" ref="E238:H238" si="98">(E221*E223)</f>
        <v>-2.8301142962292607</v>
      </c>
      <c r="F238" s="7">
        <f t="shared" si="98"/>
        <v>-2.0316254221304231</v>
      </c>
      <c r="G238" s="7">
        <f t="shared" si="98"/>
        <v>-2.0316254221304231</v>
      </c>
      <c r="H238" s="7">
        <f t="shared" si="98"/>
        <v>-2.0316254221304231</v>
      </c>
      <c r="I238" s="7"/>
      <c r="J238" s="7" t="s">
        <v>153</v>
      </c>
      <c r="K238" s="110">
        <v>0</v>
      </c>
      <c r="L238" s="110">
        <v>0</v>
      </c>
      <c r="M238" s="110">
        <v>0</v>
      </c>
      <c r="N238" s="110">
        <v>0</v>
      </c>
      <c r="O238" s="110">
        <v>0</v>
      </c>
      <c r="P238" s="110">
        <v>0</v>
      </c>
      <c r="Q238" s="110"/>
      <c r="R238" s="110">
        <v>-5.7937900000000001E-3</v>
      </c>
      <c r="S238" s="110">
        <v>0</v>
      </c>
      <c r="T238" s="110">
        <v>0</v>
      </c>
      <c r="U238" s="110">
        <v>0</v>
      </c>
      <c r="V238" s="110">
        <v>0</v>
      </c>
      <c r="W238" s="110">
        <v>0</v>
      </c>
      <c r="X238" s="7"/>
      <c r="Y238" s="7"/>
      <c r="Z238" s="7"/>
    </row>
    <row r="239" spans="1:26" ht="15.75" customHeight="1" x14ac:dyDescent="0.2">
      <c r="A239" s="7" t="s">
        <v>154</v>
      </c>
      <c r="B239" s="7">
        <f t="shared" ref="B239:C239" si="99">(B221*B224)</f>
        <v>0.7406068630437328</v>
      </c>
      <c r="C239" s="7">
        <f t="shared" si="99"/>
        <v>0.44815592777358254</v>
      </c>
      <c r="D239" s="7"/>
      <c r="E239" s="7">
        <f t="shared" ref="E239:H239" si="100">(E221*E224)</f>
        <v>4.8035096911336845</v>
      </c>
      <c r="F239" s="7">
        <f t="shared" si="100"/>
        <v>4.5751519464134391</v>
      </c>
      <c r="G239" s="7">
        <f t="shared" si="100"/>
        <v>4.5751519464134391</v>
      </c>
      <c r="H239" s="7">
        <f t="shared" si="100"/>
        <v>4.5751519464134391</v>
      </c>
      <c r="I239" s="7"/>
      <c r="J239" s="7" t="s">
        <v>154</v>
      </c>
      <c r="K239" s="110">
        <v>0</v>
      </c>
      <c r="L239" s="110">
        <v>-4.0537169999999997E-2</v>
      </c>
      <c r="M239" s="110">
        <v>0</v>
      </c>
      <c r="N239" s="110">
        <v>0</v>
      </c>
      <c r="O239" s="110">
        <v>0</v>
      </c>
      <c r="P239" s="110">
        <v>0</v>
      </c>
      <c r="Q239" s="110"/>
      <c r="R239" s="110">
        <v>0</v>
      </c>
      <c r="S239" s="110">
        <v>0</v>
      </c>
      <c r="T239" s="110">
        <v>0</v>
      </c>
      <c r="U239" s="110">
        <v>0</v>
      </c>
      <c r="V239" s="110">
        <v>0</v>
      </c>
      <c r="W239" s="110">
        <v>0</v>
      </c>
      <c r="X239" s="7"/>
      <c r="Y239" s="7"/>
      <c r="Z239" s="7"/>
    </row>
    <row r="240" spans="1:26" ht="15.75" customHeight="1" x14ac:dyDescent="0.2">
      <c r="A240" s="7" t="s">
        <v>155</v>
      </c>
      <c r="B240" s="7">
        <f t="shared" ref="B240:C240" si="101">(B222*B220)</f>
        <v>0.24629224214469417</v>
      </c>
      <c r="C240" s="7">
        <f t="shared" si="101"/>
        <v>9.9322340528490913E-2</v>
      </c>
      <c r="D240" s="7"/>
      <c r="E240" s="7">
        <f t="shared" ref="E240:H240" si="102">(E222*E220)</f>
        <v>17.522443252061045</v>
      </c>
      <c r="F240" s="7">
        <f t="shared" si="102"/>
        <v>19.073896067614715</v>
      </c>
      <c r="G240" s="7">
        <f t="shared" si="102"/>
        <v>4.6570480391053347E-2</v>
      </c>
      <c r="H240" s="7">
        <f t="shared" si="102"/>
        <v>19.073896067614715</v>
      </c>
      <c r="I240" s="7"/>
      <c r="J240" s="7" t="s">
        <v>155</v>
      </c>
      <c r="K240" s="110">
        <v>0</v>
      </c>
      <c r="L240" s="110">
        <v>0</v>
      </c>
      <c r="M240" s="110">
        <v>0</v>
      </c>
      <c r="N240" s="110">
        <v>0</v>
      </c>
      <c r="O240" s="110">
        <v>0</v>
      </c>
      <c r="P240" s="110">
        <v>0</v>
      </c>
      <c r="Q240" s="110"/>
      <c r="R240" s="110">
        <v>0</v>
      </c>
      <c r="S240" s="110">
        <v>0</v>
      </c>
      <c r="T240" s="110">
        <v>0</v>
      </c>
      <c r="U240" s="110">
        <v>0</v>
      </c>
      <c r="V240" s="110">
        <v>0</v>
      </c>
      <c r="W240" s="110">
        <v>0</v>
      </c>
      <c r="X240" s="7"/>
      <c r="Y240" s="7"/>
      <c r="Z240" s="7"/>
    </row>
    <row r="241" spans="1:26" ht="15.75" customHeight="1" x14ac:dyDescent="0.2">
      <c r="A241" s="7" t="s">
        <v>156</v>
      </c>
      <c r="B241" s="7">
        <f t="shared" ref="B241:C241" si="103">(B223*B223)</f>
        <v>0.75735702454399523</v>
      </c>
      <c r="C241" s="7">
        <f t="shared" si="103"/>
        <v>0.31293273276335226</v>
      </c>
      <c r="D241" s="7"/>
      <c r="E241" s="7">
        <f t="shared" ref="E241:H241" si="104">(E223*E223)</f>
        <v>0.75735702454399523</v>
      </c>
      <c r="F241" s="7">
        <f t="shared" si="104"/>
        <v>0.31293273276335226</v>
      </c>
      <c r="G241" s="7">
        <f t="shared" si="104"/>
        <v>0.31293273276335226</v>
      </c>
      <c r="H241" s="7">
        <f t="shared" si="104"/>
        <v>0.31293273276335226</v>
      </c>
      <c r="I241" s="7"/>
      <c r="J241" s="7" t="s">
        <v>156</v>
      </c>
      <c r="K241" s="110">
        <v>0</v>
      </c>
      <c r="L241" s="110">
        <v>0</v>
      </c>
      <c r="M241" s="110">
        <v>0</v>
      </c>
      <c r="N241" s="110">
        <v>0</v>
      </c>
      <c r="O241" s="110">
        <v>0</v>
      </c>
      <c r="P241" s="110">
        <v>0</v>
      </c>
      <c r="Q241" s="110"/>
      <c r="R241" s="110">
        <v>1.3486985E-2</v>
      </c>
      <c r="S241" s="110">
        <v>0</v>
      </c>
      <c r="T241" s="110">
        <v>0</v>
      </c>
      <c r="U241" s="110">
        <v>0</v>
      </c>
      <c r="V241" s="110">
        <v>0</v>
      </c>
      <c r="W241" s="110">
        <v>0</v>
      </c>
      <c r="X241" s="7"/>
      <c r="Y241" s="7"/>
      <c r="Z241" s="7"/>
    </row>
    <row r="242" spans="1:26" ht="15.75" customHeight="1" x14ac:dyDescent="0.2">
      <c r="A242" s="7" t="s">
        <v>157</v>
      </c>
      <c r="B242" s="7">
        <f t="shared" ref="B242:C242" si="105">(B224*B224)</f>
        <v>1.3875556817945827</v>
      </c>
      <c r="C242" s="7">
        <f t="shared" si="105"/>
        <v>0.95223668372014181</v>
      </c>
      <c r="D242" s="7"/>
      <c r="E242" s="7">
        <f t="shared" ref="E242:H242" si="106">(E224*E224)</f>
        <v>2.1817754467943637</v>
      </c>
      <c r="F242" s="7">
        <f t="shared" si="106"/>
        <v>1.5869920811906557</v>
      </c>
      <c r="G242" s="7">
        <f t="shared" si="106"/>
        <v>1.5869920811906557</v>
      </c>
      <c r="H242" s="7">
        <f t="shared" si="106"/>
        <v>1.5869920811906557</v>
      </c>
      <c r="I242" s="7"/>
      <c r="J242" s="7" t="s">
        <v>157</v>
      </c>
      <c r="K242" s="110">
        <v>0</v>
      </c>
      <c r="L242" s="110">
        <v>0</v>
      </c>
      <c r="M242" s="110">
        <v>0</v>
      </c>
      <c r="N242" s="110">
        <v>0</v>
      </c>
      <c r="O242" s="110">
        <v>0</v>
      </c>
      <c r="P242" s="110">
        <v>0</v>
      </c>
      <c r="Q242" s="110"/>
      <c r="R242" s="110">
        <v>0</v>
      </c>
      <c r="S242" s="110">
        <v>0</v>
      </c>
      <c r="T242" s="110">
        <v>0</v>
      </c>
      <c r="U242" s="110">
        <v>0</v>
      </c>
      <c r="V242" s="110">
        <v>0</v>
      </c>
      <c r="W242" s="110">
        <v>0</v>
      </c>
      <c r="X242" s="7"/>
      <c r="Y242" s="7"/>
      <c r="Z242" s="7"/>
    </row>
    <row r="243" spans="1:26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">
      <c r="A246" s="7"/>
      <c r="B246" s="7"/>
      <c r="C246" s="7"/>
      <c r="D246" s="7"/>
      <c r="E246" s="7"/>
      <c r="F246" s="7"/>
      <c r="G246" s="7"/>
      <c r="H246" s="7" t="s">
        <v>158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 t="s">
        <v>159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 t="s">
        <v>118</v>
      </c>
      <c r="J248" s="7" t="s">
        <v>118</v>
      </c>
      <c r="K248" s="7" t="s">
        <v>118</v>
      </c>
      <c r="L248" s="7" t="s">
        <v>118</v>
      </c>
      <c r="M248" s="7" t="s">
        <v>118</v>
      </c>
      <c r="N248" s="7" t="s">
        <v>118</v>
      </c>
      <c r="O248" s="7" t="s">
        <v>118</v>
      </c>
      <c r="P248" s="7" t="s">
        <v>119</v>
      </c>
      <c r="Q248" s="7" t="s">
        <v>119</v>
      </c>
      <c r="R248" s="7" t="s">
        <v>119</v>
      </c>
      <c r="S248" s="7" t="s">
        <v>119</v>
      </c>
      <c r="T248" s="7" t="s">
        <v>119</v>
      </c>
      <c r="U248" s="7" t="s">
        <v>119</v>
      </c>
      <c r="V248" s="7" t="s">
        <v>119</v>
      </c>
      <c r="W248" s="7"/>
      <c r="X248" s="7"/>
      <c r="Y248" s="7"/>
      <c r="Z248" s="7"/>
    </row>
    <row r="249" spans="1:26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 t="s">
        <v>123</v>
      </c>
      <c r="J249" s="7" t="s">
        <v>123</v>
      </c>
      <c r="K249" s="7" t="s">
        <v>122</v>
      </c>
      <c r="L249" s="7" t="s">
        <v>122</v>
      </c>
      <c r="M249" s="7" t="s">
        <v>122</v>
      </c>
      <c r="N249" s="7" t="s">
        <v>122</v>
      </c>
      <c r="O249" s="7" t="s">
        <v>122</v>
      </c>
      <c r="P249" s="7" t="s">
        <v>123</v>
      </c>
      <c r="Q249" s="7" t="s">
        <v>123</v>
      </c>
      <c r="R249" s="7" t="s">
        <v>122</v>
      </c>
      <c r="S249" s="7" t="s">
        <v>122</v>
      </c>
      <c r="T249" s="7" t="s">
        <v>122</v>
      </c>
      <c r="U249" s="7" t="s">
        <v>122</v>
      </c>
      <c r="V249" s="7" t="s">
        <v>122</v>
      </c>
      <c r="W249" s="7"/>
      <c r="X249" s="7"/>
      <c r="Y249" s="7"/>
      <c r="Z249" s="7"/>
    </row>
    <row r="250" spans="1:26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 t="s">
        <v>94</v>
      </c>
      <c r="J250" s="7" t="s">
        <v>95</v>
      </c>
      <c r="K250" s="7" t="s">
        <v>25</v>
      </c>
      <c r="L250" s="7" t="s">
        <v>126</v>
      </c>
      <c r="M250" s="7" t="s">
        <v>128</v>
      </c>
      <c r="N250" s="7" t="s">
        <v>129</v>
      </c>
      <c r="O250" s="7" t="s">
        <v>160</v>
      </c>
      <c r="P250" s="7" t="s">
        <v>94</v>
      </c>
      <c r="Q250" s="7" t="s">
        <v>95</v>
      </c>
      <c r="R250" s="7" t="s">
        <v>25</v>
      </c>
      <c r="S250" s="7" t="s">
        <v>126</v>
      </c>
      <c r="T250" s="7" t="s">
        <v>128</v>
      </c>
      <c r="U250" s="7" t="s">
        <v>129</v>
      </c>
      <c r="V250" s="7" t="s">
        <v>161</v>
      </c>
      <c r="W250" s="7"/>
      <c r="X250" s="7"/>
      <c r="Y250" s="7"/>
      <c r="Z250" s="7"/>
    </row>
    <row r="251" spans="1:26" ht="15.75" customHeight="1" x14ac:dyDescent="0.2">
      <c r="A251" s="7"/>
      <c r="B251" s="7"/>
      <c r="C251" s="7"/>
      <c r="D251" s="7"/>
      <c r="E251" s="7"/>
      <c r="F251" s="7"/>
      <c r="G251" s="7" t="s">
        <v>162</v>
      </c>
      <c r="H251" s="7"/>
      <c r="I251" s="7">
        <f t="shared" ref="I251:N251" si="107">(K217+$B219*K219+$B220*K220+$B221*K221+$B222*K222+$B223*K223+$B224*K224+$B225*K225+$B226*K226+$B227*K227+$B228*K228+$B229*K229+$B230*K230+$B231*K231+$B232*K232+$B233*K233+$B234*K234+$B235*K235+$B236*K236+$B237*K237+$B238*K238+$B239*K239+$B240*K240+$B241*K241+$B242*K242)</f>
        <v>-0.16480626613621432</v>
      </c>
      <c r="J251" s="7">
        <f t="shared" si="107"/>
        <v>-0.83910633430391945</v>
      </c>
      <c r="K251" s="7">
        <f t="shared" si="107"/>
        <v>2.6807426177530473</v>
      </c>
      <c r="L251" s="7">
        <f t="shared" si="107"/>
        <v>0.50620250686155421</v>
      </c>
      <c r="M251" s="7">
        <f t="shared" si="107"/>
        <v>2.4488062868167848</v>
      </c>
      <c r="N251" s="7">
        <f t="shared" si="107"/>
        <v>1.1054581093316949</v>
      </c>
      <c r="O251" s="7"/>
      <c r="P251" s="7">
        <f t="shared" ref="P251:U251" si="108">(R217+$C219*R219+$C220*R220+$C221*R221+$C222*R222+$C223*R223+$C224*R224+$C225*R225+$C226*R226+$C227*R227+$C228*R228+$C229*R229+$C230*R230+$C231*R231+$C232*R232+$C233*R233+$C234*R234+$C235*R235+$C236*R236+$C237*R237+$C238*R238+$C239*R239+$C240*R240+$C241*R241+$C242*R242)</f>
        <v>-0.73370041556644983</v>
      </c>
      <c r="Q251" s="7">
        <f t="shared" si="108"/>
        <v>-1.2855407942559716</v>
      </c>
      <c r="R251" s="7">
        <f t="shared" si="108"/>
        <v>1.7894624453677159</v>
      </c>
      <c r="S251" s="7">
        <f t="shared" si="108"/>
        <v>-0.22964287599693639</v>
      </c>
      <c r="T251" s="7">
        <f t="shared" si="108"/>
        <v>0.64655169381215993</v>
      </c>
      <c r="U251" s="7">
        <f t="shared" si="108"/>
        <v>-0.4560417363497139</v>
      </c>
      <c r="V251" s="7"/>
      <c r="W251" s="7"/>
      <c r="X251" s="7"/>
      <c r="Y251" s="7"/>
      <c r="Z251" s="7"/>
    </row>
    <row r="252" spans="1:26" ht="15.75" customHeight="1" x14ac:dyDescent="0.2">
      <c r="A252" s="7"/>
      <c r="B252" s="7"/>
      <c r="C252" s="7"/>
      <c r="D252" s="7"/>
      <c r="E252" s="7"/>
      <c r="F252" s="7"/>
      <c r="G252" s="7" t="s">
        <v>163</v>
      </c>
      <c r="H252" s="7"/>
      <c r="I252" s="7">
        <f t="shared" ref="I252:N252" si="109">EXP(I251)</f>
        <v>0.84805798572423252</v>
      </c>
      <c r="J252" s="7">
        <f t="shared" si="109"/>
        <v>0.43209650075616557</v>
      </c>
      <c r="K252" s="7">
        <f t="shared" si="109"/>
        <v>14.595928467789722</v>
      </c>
      <c r="L252" s="7">
        <f t="shared" si="109"/>
        <v>1.6589792554184355</v>
      </c>
      <c r="M252" s="7">
        <f t="shared" si="109"/>
        <v>11.574521810102771</v>
      </c>
      <c r="N252" s="7">
        <f t="shared" si="109"/>
        <v>3.0206079205720973</v>
      </c>
      <c r="O252" s="7">
        <f>($T$192*K252+$T$193*L252+$T$194*M252+$T$195*N252)</f>
        <v>4.5937250850254383</v>
      </c>
      <c r="P252" s="7">
        <f t="shared" ref="P252:U252" si="110">EXP(P251)</f>
        <v>0.48012902190375573</v>
      </c>
      <c r="Q252" s="7">
        <f t="shared" si="110"/>
        <v>0.27650101303253982</v>
      </c>
      <c r="R252" s="7">
        <f t="shared" si="110"/>
        <v>5.9862336736809372</v>
      </c>
      <c r="S252" s="7">
        <f t="shared" si="110"/>
        <v>0.79481740019649638</v>
      </c>
      <c r="T252" s="7">
        <f t="shared" si="110"/>
        <v>1.908946833312235</v>
      </c>
      <c r="U252" s="7">
        <f t="shared" si="110"/>
        <v>0.63378738457461015</v>
      </c>
      <c r="V252" s="7">
        <f>($T$192*R252+$T$193*S252+$T$194*T252+$T$195*U252)</f>
        <v>1.889430862041378</v>
      </c>
      <c r="W252" s="7"/>
      <c r="X252" s="7"/>
      <c r="Y252" s="7"/>
      <c r="Z252" s="7"/>
    </row>
    <row r="253" spans="1:26" ht="15.75" customHeight="1" x14ac:dyDescent="0.2">
      <c r="A253" s="7" t="s">
        <v>119</v>
      </c>
      <c r="B253" s="7"/>
      <c r="C253" s="7" t="s">
        <v>164</v>
      </c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">
      <c r="A254" s="7" t="s">
        <v>117</v>
      </c>
      <c r="B254" s="7"/>
      <c r="C254" s="7" t="s">
        <v>165</v>
      </c>
      <c r="D254" s="7"/>
      <c r="E254" s="7"/>
      <c r="F254" s="7"/>
      <c r="G254" s="7"/>
      <c r="H254" s="7"/>
      <c r="I254" s="7" t="s">
        <v>166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">
      <c r="A255" s="7">
        <f>(C191)</f>
        <v>7</v>
      </c>
      <c r="B255" s="7"/>
      <c r="C255" s="7"/>
      <c r="D255" s="7"/>
      <c r="E255" s="7"/>
      <c r="F255" s="7"/>
      <c r="G255" s="7"/>
      <c r="H255" s="7"/>
      <c r="I255" s="7" t="s">
        <v>118</v>
      </c>
      <c r="J255" s="7" t="s">
        <v>118</v>
      </c>
      <c r="K255" s="7" t="s">
        <v>118</v>
      </c>
      <c r="L255" s="7" t="s">
        <v>118</v>
      </c>
      <c r="M255" s="7" t="s">
        <v>118</v>
      </c>
      <c r="N255" s="7" t="s">
        <v>118</v>
      </c>
      <c r="O255" s="7" t="s">
        <v>118</v>
      </c>
      <c r="P255" s="7" t="s">
        <v>119</v>
      </c>
      <c r="Q255" s="7" t="s">
        <v>119</v>
      </c>
      <c r="R255" s="7" t="s">
        <v>119</v>
      </c>
      <c r="S255" s="7" t="s">
        <v>119</v>
      </c>
      <c r="T255" s="7" t="s">
        <v>119</v>
      </c>
      <c r="U255" s="7" t="s">
        <v>119</v>
      </c>
      <c r="V255" s="7" t="s">
        <v>119</v>
      </c>
      <c r="W255" s="7"/>
      <c r="X255" s="7"/>
      <c r="Y255" s="7"/>
      <c r="Z255" s="7"/>
    </row>
    <row r="256" spans="1:26" ht="15.75" customHeight="1" x14ac:dyDescent="0.2">
      <c r="A256" s="109">
        <f>IF(C192&lt;181.3,181.3,C192)</f>
        <v>181.3</v>
      </c>
      <c r="B256" s="7"/>
      <c r="C256" s="7"/>
      <c r="D256" s="7"/>
      <c r="E256" s="7"/>
      <c r="F256" s="7"/>
      <c r="G256" s="7"/>
      <c r="H256" s="7"/>
      <c r="I256" s="7" t="s">
        <v>123</v>
      </c>
      <c r="J256" s="7" t="s">
        <v>123</v>
      </c>
      <c r="K256" s="7" t="s">
        <v>122</v>
      </c>
      <c r="L256" s="7" t="s">
        <v>122</v>
      </c>
      <c r="M256" s="7" t="s">
        <v>122</v>
      </c>
      <c r="N256" s="7" t="s">
        <v>122</v>
      </c>
      <c r="O256" s="7" t="s">
        <v>122</v>
      </c>
      <c r="P256" s="7" t="s">
        <v>123</v>
      </c>
      <c r="Q256" s="7" t="s">
        <v>123</v>
      </c>
      <c r="R256" s="7" t="s">
        <v>122</v>
      </c>
      <c r="S256" s="7" t="s">
        <v>122</v>
      </c>
      <c r="T256" s="7" t="s">
        <v>122</v>
      </c>
      <c r="U256" s="7" t="s">
        <v>122</v>
      </c>
      <c r="V256" s="7" t="s">
        <v>122</v>
      </c>
      <c r="W256" s="7"/>
      <c r="X256" s="7"/>
      <c r="Y256" s="7"/>
      <c r="Z256" s="7"/>
    </row>
    <row r="257" spans="1:26" ht="15.75" customHeight="1" x14ac:dyDescent="0.2">
      <c r="A257" s="109">
        <f>IF(C193&lt;C257,C257,C193)</f>
        <v>310.60611599999999</v>
      </c>
      <c r="B257" s="7"/>
      <c r="C257" s="109">
        <f>323.8-0.9712*B24-7.27598*C27</f>
        <v>310.60611599999999</v>
      </c>
      <c r="D257" s="7"/>
      <c r="E257" s="7"/>
      <c r="F257" s="7"/>
      <c r="G257" s="7"/>
      <c r="H257" s="7"/>
      <c r="I257" s="7" t="s">
        <v>94</v>
      </c>
      <c r="J257" s="7" t="s">
        <v>95</v>
      </c>
      <c r="K257" s="7" t="s">
        <v>25</v>
      </c>
      <c r="L257" s="7" t="s">
        <v>126</v>
      </c>
      <c r="M257" s="7" t="s">
        <v>128</v>
      </c>
      <c r="N257" s="7" t="s">
        <v>129</v>
      </c>
      <c r="O257" s="7" t="s">
        <v>161</v>
      </c>
      <c r="P257" s="7" t="s">
        <v>94</v>
      </c>
      <c r="Q257" s="7" t="s">
        <v>95</v>
      </c>
      <c r="R257" s="7" t="s">
        <v>25</v>
      </c>
      <c r="S257" s="7" t="s">
        <v>126</v>
      </c>
      <c r="T257" s="7" t="s">
        <v>128</v>
      </c>
      <c r="U257" s="7" t="s">
        <v>129</v>
      </c>
      <c r="V257" s="7" t="s">
        <v>161</v>
      </c>
      <c r="W257" s="7"/>
      <c r="X257" s="7"/>
      <c r="Y257" s="7"/>
      <c r="Z257" s="7"/>
    </row>
    <row r="258" spans="1:26" ht="15.75" customHeight="1" x14ac:dyDescent="0.2">
      <c r="A258" s="102">
        <f t="shared" ref="A258:A259" si="111">(C194)</f>
        <v>0.1</v>
      </c>
      <c r="B258" s="7"/>
      <c r="C258" s="7"/>
      <c r="D258" s="7"/>
      <c r="E258" s="7"/>
      <c r="F258" s="7"/>
      <c r="G258" s="7" t="s">
        <v>162</v>
      </c>
      <c r="H258" s="7"/>
      <c r="I258" s="7">
        <f t="shared" ref="I258:N258" si="112">(K217+$E219*K219+$E220*K220+$E221*K221+$E222*K222+$E223*K223+$E224*K224+$E225*K225+$E226*K226+$E227*K227+$E228*K228+$E229*K229+$E230*K230+$E231*K231+$E232*K232+$E233*K233+$E234*K234+$E235*K235+$E236*K236+$E237*K237+$E238*K238+$E239*K239+$E240*K240+$E241*K241+$E242*K242)</f>
        <v>0.12150097142015059</v>
      </c>
      <c r="J258" s="7">
        <f t="shared" si="112"/>
        <v>-0.7904729504710637</v>
      </c>
      <c r="K258" s="7">
        <f t="shared" si="112"/>
        <v>1.9812369719196954</v>
      </c>
      <c r="L258" s="7">
        <f t="shared" si="112"/>
        <v>-1.583042662518733</v>
      </c>
      <c r="M258" s="7">
        <f t="shared" si="112"/>
        <v>2.7585602738096688</v>
      </c>
      <c r="N258" s="7">
        <f t="shared" si="112"/>
        <v>1.373663860417597</v>
      </c>
      <c r="O258" s="7"/>
      <c r="P258" s="7">
        <f>(R217+$F219*R219+$F220*R220+$F221*R221+$F222*R222+$F223*R223+$F224*R224+$F225*R225+$F226*R226+$F227*R227+$F228*R228+$F229*R229+$F230*R230+$F231*R231+$F232*R232+$F233*R233+$F234*R234+$F235*R235+$F236*R236+$F237*R237+$F238*R238+$F239*R239+$F240*R240+$F241*R241+$F242*R242)</f>
        <v>-0.68859904546896866</v>
      </c>
      <c r="Q258" s="7">
        <f>S217+$G219*S219+$G220*S220+$G221*S221+$G222*S222+$G223*S223+$G224*S224+$G225*S225+$G226*S226+$G227*S227+$G228*S228+$G229*S229+$G230*S230+$G231*S231+$G232*S232+$G233*S233+$G234*S234+$G235*S235+$G236*S236+$G237*S237+$G238*S238+$G239*S239+$G240*S240+$G241*S241+$G242*S242</f>
        <v>-1.5185440745838785</v>
      </c>
      <c r="R258" s="7">
        <f t="shared" ref="R258:U258" si="113">T217+$H219*T219+$H220*T220+$H221*T221+$H222*T222+$H223*T223+$H224*T224+$H225*T225+$H226*T226+$H227*T227+$H228*T228+$H229*T229+$H230*T230+$H231*T231+$H232*T232+$H233*T233+$H234*T234+$H235*T235+$H236*T236+$H237*T237+$H238*T238+$H239*T239+$H240*T240+$H241*T241+$H242*T242</f>
        <v>0.55274818404238357</v>
      </c>
      <c r="S258" s="7">
        <f t="shared" si="113"/>
        <v>-1.8443900626307965</v>
      </c>
      <c r="T258" s="7">
        <f t="shared" si="113"/>
        <v>-0.18311567564529913</v>
      </c>
      <c r="U258" s="7">
        <f t="shared" si="113"/>
        <v>-1.7459688847550254</v>
      </c>
      <c r="V258" s="7"/>
      <c r="W258" s="7"/>
      <c r="X258" s="7"/>
      <c r="Y258" s="7"/>
      <c r="Z258" s="7"/>
    </row>
    <row r="259" spans="1:26" ht="15.75" customHeight="1" x14ac:dyDescent="0.2">
      <c r="A259" s="102">
        <f t="shared" si="111"/>
        <v>0</v>
      </c>
      <c r="B259" s="7"/>
      <c r="C259" s="7"/>
      <c r="D259" s="7"/>
      <c r="E259" s="7"/>
      <c r="F259" s="7"/>
      <c r="G259" s="7" t="s">
        <v>163</v>
      </c>
      <c r="H259" s="7"/>
      <c r="I259" s="7">
        <f t="shared" ref="I259:N259" si="114">EXP(I258)</f>
        <v>1.1291904628429943</v>
      </c>
      <c r="J259" s="7">
        <f t="shared" si="114"/>
        <v>0.45363019992312542</v>
      </c>
      <c r="K259" s="7">
        <f t="shared" si="114"/>
        <v>7.2517075981994648</v>
      </c>
      <c r="L259" s="7">
        <f t="shared" si="114"/>
        <v>0.20534933796515994</v>
      </c>
      <c r="M259" s="7">
        <f t="shared" si="114"/>
        <v>15.777111867757073</v>
      </c>
      <c r="N259" s="7">
        <f t="shared" si="114"/>
        <v>3.9497957172256823</v>
      </c>
      <c r="O259" s="7">
        <f>($T$192*K259+$T$193*L259+$T$194*M259+$T$195*N259)</f>
        <v>2.0535352765061772</v>
      </c>
      <c r="P259" s="7">
        <f t="shared" ref="P259:U259" si="115">EXP(P258)</f>
        <v>0.50227924677766211</v>
      </c>
      <c r="Q259" s="7">
        <f t="shared" si="115"/>
        <v>0.21903054706362488</v>
      </c>
      <c r="R259" s="7">
        <f t="shared" si="115"/>
        <v>1.7380228673626155</v>
      </c>
      <c r="S259" s="7">
        <f t="shared" si="115"/>
        <v>0.15812173583868988</v>
      </c>
      <c r="T259" s="7">
        <f t="shared" si="115"/>
        <v>0.83267183031465164</v>
      </c>
      <c r="U259" s="7">
        <f t="shared" si="115"/>
        <v>0.17447586004590654</v>
      </c>
      <c r="V259" s="7">
        <f>($T$192*R259+$T$193*S259+$T$194*T259+$T$195*U259)</f>
        <v>0.48552075111208182</v>
      </c>
      <c r="W259" s="7"/>
      <c r="X259" s="7"/>
      <c r="Y259" s="7"/>
      <c r="Z259" s="7"/>
    </row>
    <row r="260" spans="1:26" ht="15.75" customHeight="1" x14ac:dyDescent="0.2">
      <c r="A260" s="102">
        <f>IF(C196&lt;C260,C260,C196)</f>
        <v>2</v>
      </c>
      <c r="B260" s="7"/>
      <c r="C260" s="102">
        <f>4.724+0.035867*B24-0.57808*7</f>
        <v>0.68102669999999943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">
      <c r="A261" s="109">
        <f t="shared" ref="A261:A262" si="116">(C197)</f>
        <v>1</v>
      </c>
      <c r="B261" s="7"/>
      <c r="C261" s="7"/>
      <c r="D261" s="7"/>
      <c r="E261" s="7"/>
      <c r="F261" s="7"/>
      <c r="G261" s="7"/>
      <c r="H261" s="7" t="s">
        <v>167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">
      <c r="A262" s="101">
        <f t="shared" si="116"/>
        <v>0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">
      <c r="A263" s="7"/>
      <c r="B263" s="7"/>
      <c r="C263" s="7"/>
      <c r="D263" s="7"/>
      <c r="E263" s="7"/>
      <c r="F263" s="7"/>
      <c r="G263" s="7"/>
      <c r="H263" s="7" t="s">
        <v>91</v>
      </c>
      <c r="I263" s="7"/>
      <c r="J263" s="7" t="s">
        <v>118</v>
      </c>
      <c r="K263" s="7" t="s">
        <v>119</v>
      </c>
      <c r="L263" s="7" t="s">
        <v>92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">
      <c r="A264" s="7"/>
      <c r="B264" s="7"/>
      <c r="C264" s="7"/>
      <c r="D264" s="7"/>
      <c r="E264" s="7"/>
      <c r="F264" s="7"/>
      <c r="G264" s="7"/>
      <c r="H264" s="7" t="s">
        <v>168</v>
      </c>
      <c r="I264" s="7"/>
      <c r="J264" s="7">
        <f>((I259-I252)/I252)*100</f>
        <v>33.150147967615403</v>
      </c>
      <c r="K264" s="7">
        <f>((P259-P252)/P252)*100</f>
        <v>4.6133901229462673</v>
      </c>
      <c r="L264" s="7">
        <f t="shared" ref="L264:L265" si="117">(O192*J264+P192*K264)</f>
        <v>9.5787859879186961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">
      <c r="A265" s="7"/>
      <c r="B265" s="7"/>
      <c r="C265" s="7"/>
      <c r="D265" s="7"/>
      <c r="E265" s="7"/>
      <c r="F265" s="7"/>
      <c r="G265" s="7"/>
      <c r="H265" s="7" t="s">
        <v>169</v>
      </c>
      <c r="I265" s="7"/>
      <c r="J265" s="7">
        <f>((J259-J252)/J252)*100</f>
        <v>4.9835393550459317</v>
      </c>
      <c r="K265" s="7">
        <f>((Q259-Q252)/Q252)*100</f>
        <v>-20.784902499489785</v>
      </c>
      <c r="L265" s="7">
        <f t="shared" si="117"/>
        <v>-15.682751012291714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">
      <c r="A266" s="7"/>
      <c r="B266" s="7"/>
      <c r="C266" s="7"/>
      <c r="D266" s="7"/>
      <c r="E266" s="7"/>
      <c r="F266" s="7"/>
      <c r="G266" s="7"/>
      <c r="H266" s="7" t="s">
        <v>65</v>
      </c>
      <c r="I266" s="7"/>
      <c r="J266" s="7">
        <f>((K259-K252)/K252)*100</f>
        <v>-50.316914650530634</v>
      </c>
      <c r="K266" s="7">
        <f>((R259-R252)/R252)*100</f>
        <v>-70.966337732454321</v>
      </c>
      <c r="L266" s="7">
        <f>((((O$100*K259+P$100*R259)/(O$100*K252+P$100*R252))-1)*100)</f>
        <v>-66.993825098779823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">
      <c r="A267" s="7"/>
      <c r="B267" s="7"/>
      <c r="C267" s="7"/>
      <c r="D267" s="7"/>
      <c r="E267" s="7"/>
      <c r="F267" s="7"/>
      <c r="G267" s="7"/>
      <c r="H267" s="7" t="s">
        <v>126</v>
      </c>
      <c r="I267" s="7"/>
      <c r="J267" s="7">
        <f>((L259-L252)/L252)*100</f>
        <v>-87.621946609973392</v>
      </c>
      <c r="K267" s="7">
        <f>((S259-S252)/S252)*100</f>
        <v>-80.10590409827482</v>
      </c>
      <c r="L267" s="7">
        <f>((((O$100*L259+P$100*S259)/(O$100*L252+P$100*S252))-1)*100)</f>
        <v>-81.378936012028674</v>
      </c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">
      <c r="A268" s="7"/>
      <c r="B268" s="7"/>
      <c r="C268" s="7"/>
      <c r="D268" s="7"/>
      <c r="E268" s="7"/>
      <c r="F268" s="7"/>
      <c r="G268" s="7"/>
      <c r="H268" s="7" t="s">
        <v>128</v>
      </c>
      <c r="I268" s="7"/>
      <c r="J268" s="7">
        <f>((M259-M252)/M252)*100</f>
        <v>36.308973507536955</v>
      </c>
      <c r="K268" s="7">
        <f>((T259-T252)/T252)*100</f>
        <v>-56.38056462421882</v>
      </c>
      <c r="L268" s="7">
        <f>((((O$100*M259+P$100*T259)/(O$100*M252+P$100*T252))-1)*100)</f>
        <v>-21.900178183657438</v>
      </c>
      <c r="M268" s="7"/>
      <c r="N268" s="7" t="s">
        <v>170</v>
      </c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">
      <c r="A269" s="7"/>
      <c r="B269" s="7"/>
      <c r="C269" s="7"/>
      <c r="D269" s="7"/>
      <c r="E269" s="7"/>
      <c r="F269" s="7"/>
      <c r="G269" s="7"/>
      <c r="H269" s="7" t="s">
        <v>129</v>
      </c>
      <c r="I269" s="7"/>
      <c r="J269" s="7">
        <f>((N259-N252)/N252)*100</f>
        <v>30.761615578283948</v>
      </c>
      <c r="K269" s="7">
        <f>((U259-U252)/U252)*100</f>
        <v>-72.470916226423086</v>
      </c>
      <c r="L269" s="7">
        <f>((((O$100*N259+P$100*U259)/(O$100*N252+P$100*U252))-1)*100)</f>
        <v>-39.674942907144704</v>
      </c>
      <c r="M269" s="7"/>
      <c r="N269" s="7" t="s">
        <v>116</v>
      </c>
      <c r="O269" s="7" t="s">
        <v>117</v>
      </c>
      <c r="P269" s="7" t="s">
        <v>171</v>
      </c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">
      <c r="A270" s="7"/>
      <c r="B270" s="7"/>
      <c r="C270" s="7"/>
      <c r="D270" s="7"/>
      <c r="E270" s="7"/>
      <c r="F270" s="7"/>
      <c r="G270" s="7"/>
      <c r="H270" s="7" t="s">
        <v>172</v>
      </c>
      <c r="I270" s="7"/>
      <c r="J270" s="7">
        <f>((O259-O252)/O252)*100</f>
        <v>-55.296948805224254</v>
      </c>
      <c r="K270" s="7">
        <f>((V259-V252)/V252)*100</f>
        <v>-74.303333301779801</v>
      </c>
      <c r="L270" s="7">
        <f>((((O100*O259+P100*V259)/(O100*O252+P100*V252))-1)*100)</f>
        <v>-70.655358198372596</v>
      </c>
      <c r="M270" s="7"/>
      <c r="N270" s="7">
        <f>((K252*O$100+R252*P$100)*T$98)+((L252*O$100+S252*P$100)*T$99)+((M252*O$100+T252*P$100)*T$100)+((N252*O$100+U252*P$100)*T$101)</f>
        <v>2.1301130478869594</v>
      </c>
      <c r="O270" s="7">
        <f>((K259*O$100+R259*P$100)*T$98)+((L259*O$100+S259*P$100)*T$99)+((M259*O$100+T259*P$100)*T$100)+((N259*O$100+U259*P$100)*T$101)</f>
        <v>0.62507404387215626</v>
      </c>
      <c r="P270" s="7">
        <f>((O270-N270)/N270)*100</f>
        <v>-70.655358198372596</v>
      </c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 t="s">
        <v>173</v>
      </c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 t="s">
        <v>174</v>
      </c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 x14ac:dyDescent="0.2"/>
  <cols>
    <col min="1" max="1" width="21.42578125" customWidth="1"/>
    <col min="2" max="3" width="16.7109375" customWidth="1"/>
    <col min="13" max="13" width="13.7109375" customWidth="1"/>
    <col min="24" max="26" width="8" customWidth="1"/>
  </cols>
  <sheetData>
    <row r="1" spans="1:26" ht="18" customHeight="1" x14ac:dyDescent="0.25">
      <c r="A1" s="86" t="s">
        <v>67</v>
      </c>
      <c r="B1" s="87"/>
      <c r="C1" s="87"/>
      <c r="D1" s="87"/>
      <c r="E1" s="87"/>
      <c r="F1" s="88"/>
      <c r="G1" s="87"/>
      <c r="H1" s="87"/>
      <c r="I1" s="87"/>
      <c r="J1" s="8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customHeight="1" x14ac:dyDescent="0.25">
      <c r="A2" s="6" t="s">
        <v>2</v>
      </c>
      <c r="B2" s="7"/>
      <c r="C2" s="7"/>
      <c r="D2" s="7"/>
      <c r="E2" s="7"/>
      <c r="F2" s="38"/>
      <c r="G2" s="7"/>
      <c r="H2" s="7"/>
      <c r="I2" s="7"/>
      <c r="J2" s="8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25">
      <c r="A3" s="90" t="s">
        <v>68</v>
      </c>
      <c r="B3" s="7"/>
      <c r="C3" s="7"/>
      <c r="D3" s="7"/>
      <c r="E3" s="7"/>
      <c r="F3" s="7"/>
      <c r="G3" s="7"/>
      <c r="H3" s="7"/>
      <c r="I3" s="7"/>
      <c r="J3" s="8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A4" s="89"/>
      <c r="B4" s="7"/>
      <c r="C4" s="7"/>
      <c r="D4" s="7"/>
      <c r="E4" s="7"/>
      <c r="F4" s="7"/>
      <c r="G4" s="7"/>
      <c r="H4" s="7"/>
      <c r="I4" s="7"/>
      <c r="J4" s="8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">
      <c r="A5" s="89" t="s">
        <v>69</v>
      </c>
      <c r="B5" s="7"/>
      <c r="C5" s="7"/>
      <c r="D5" s="7"/>
      <c r="E5" s="7"/>
      <c r="F5" s="7"/>
      <c r="G5" s="7"/>
      <c r="H5" s="7"/>
      <c r="I5" s="7"/>
      <c r="J5" s="8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">
      <c r="A6" s="89" t="s">
        <v>70</v>
      </c>
      <c r="B6" s="7"/>
      <c r="C6" s="7"/>
      <c r="D6" s="7"/>
      <c r="E6" s="7"/>
      <c r="F6" s="7"/>
      <c r="G6" s="7"/>
      <c r="H6" s="7"/>
      <c r="I6" s="7"/>
      <c r="J6" s="8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">
      <c r="A7" s="89" t="s">
        <v>71</v>
      </c>
      <c r="B7" s="7"/>
      <c r="C7" s="7"/>
      <c r="D7" s="7"/>
      <c r="E7" s="7"/>
      <c r="F7" s="7"/>
      <c r="G7" s="7"/>
      <c r="H7" s="7"/>
      <c r="I7" s="7"/>
      <c r="J7" s="8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">
      <c r="A8" s="89" t="s">
        <v>72</v>
      </c>
      <c r="B8" s="7"/>
      <c r="C8" s="7"/>
      <c r="D8" s="7"/>
      <c r="E8" s="7"/>
      <c r="F8" s="7"/>
      <c r="G8" s="7"/>
      <c r="H8" s="7"/>
      <c r="I8" s="7"/>
      <c r="J8" s="8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">
      <c r="A9" s="89"/>
      <c r="B9" s="7"/>
      <c r="C9" s="7"/>
      <c r="D9" s="7"/>
      <c r="E9" s="7"/>
      <c r="F9" s="7"/>
      <c r="G9" s="7"/>
      <c r="H9" s="7"/>
      <c r="I9" s="7"/>
      <c r="J9" s="8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">
      <c r="A10" s="89" t="s">
        <v>73</v>
      </c>
      <c r="B10" s="7"/>
      <c r="C10" s="7"/>
      <c r="D10" s="7"/>
      <c r="E10" s="7"/>
      <c r="F10" s="7"/>
      <c r="G10" s="7"/>
      <c r="H10" s="7"/>
      <c r="I10" s="7"/>
      <c r="J10" s="8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">
      <c r="A11" s="89" t="s">
        <v>74</v>
      </c>
      <c r="B11" s="7"/>
      <c r="C11" s="7"/>
      <c r="D11" s="7"/>
      <c r="E11" s="7"/>
      <c r="F11" s="7"/>
      <c r="G11" s="7"/>
      <c r="H11" s="7"/>
      <c r="I11" s="7"/>
      <c r="J11" s="8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">
      <c r="A12" s="89" t="s">
        <v>75</v>
      </c>
      <c r="B12" s="7"/>
      <c r="C12" s="7"/>
      <c r="D12" s="7"/>
      <c r="E12" s="7"/>
      <c r="F12" s="7"/>
      <c r="G12" s="7"/>
      <c r="H12" s="7"/>
      <c r="I12" s="7"/>
      <c r="J12" s="8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">
      <c r="A13" s="89" t="s">
        <v>76</v>
      </c>
      <c r="B13" s="7"/>
      <c r="C13" s="7"/>
      <c r="D13" s="7"/>
      <c r="E13" s="7"/>
      <c r="F13" s="7"/>
      <c r="G13" s="7"/>
      <c r="H13" s="7"/>
      <c r="I13" s="7"/>
      <c r="J13" s="8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">
      <c r="A14" s="89"/>
      <c r="B14" s="7"/>
      <c r="C14" s="7"/>
      <c r="D14" s="7"/>
      <c r="E14" s="7"/>
      <c r="F14" s="7"/>
      <c r="G14" s="7"/>
      <c r="H14" s="7"/>
      <c r="I14" s="7"/>
      <c r="J14" s="8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 x14ac:dyDescent="0.25">
      <c r="A15" s="90" t="s">
        <v>77</v>
      </c>
      <c r="B15" s="7"/>
      <c r="C15" s="7"/>
      <c r="D15" s="7"/>
      <c r="E15" s="7"/>
      <c r="F15" s="7"/>
      <c r="G15" s="7"/>
      <c r="H15" s="7"/>
      <c r="I15" s="7"/>
      <c r="J15" s="8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 x14ac:dyDescent="0.25">
      <c r="A16" s="90"/>
      <c r="B16" s="7"/>
      <c r="C16" s="7"/>
      <c r="D16" s="7"/>
      <c r="E16" s="7"/>
      <c r="F16" s="7"/>
      <c r="G16" s="7"/>
      <c r="H16" s="7"/>
      <c r="I16" s="7"/>
      <c r="J16" s="8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">
      <c r="A17" s="89" t="s">
        <v>78</v>
      </c>
      <c r="B17" s="7"/>
      <c r="C17" s="7"/>
      <c r="D17" s="7"/>
      <c r="E17" s="7"/>
      <c r="F17" s="7"/>
      <c r="G17" s="7"/>
      <c r="H17" s="7"/>
      <c r="I17" s="7"/>
      <c r="J17" s="8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">
      <c r="A18" s="89"/>
      <c r="B18" s="7"/>
      <c r="C18" s="7"/>
      <c r="D18" s="7"/>
      <c r="E18" s="7"/>
      <c r="F18" s="7"/>
      <c r="G18" s="7"/>
      <c r="H18" s="7"/>
      <c r="I18" s="7"/>
      <c r="J18" s="8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">
      <c r="A19" s="89" t="s">
        <v>17</v>
      </c>
      <c r="B19" s="7" t="s">
        <v>79</v>
      </c>
      <c r="C19" s="7"/>
      <c r="D19" s="7" t="s">
        <v>80</v>
      </c>
      <c r="E19" s="7"/>
      <c r="F19" s="7"/>
      <c r="G19" s="7"/>
      <c r="H19" s="7"/>
      <c r="I19" s="7"/>
      <c r="J19" s="8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>
      <c r="A20" s="89"/>
      <c r="B20" s="7"/>
      <c r="C20" s="7"/>
      <c r="D20" s="7"/>
      <c r="E20" s="7"/>
      <c r="F20" s="7"/>
      <c r="G20" s="7"/>
      <c r="H20" s="7"/>
      <c r="I20" s="7"/>
      <c r="J20" s="8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 x14ac:dyDescent="0.25">
      <c r="A21" s="89" t="s">
        <v>81</v>
      </c>
      <c r="B21" s="91">
        <v>7</v>
      </c>
      <c r="C21" s="66"/>
      <c r="D21" s="7" t="s">
        <v>82</v>
      </c>
      <c r="E21" s="7"/>
      <c r="F21" s="1"/>
      <c r="G21" s="7"/>
      <c r="H21" s="7"/>
      <c r="I21" s="7"/>
      <c r="J21" s="8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25">
      <c r="A22" s="89" t="s">
        <v>18</v>
      </c>
      <c r="B22" s="92">
        <f>IF('Phase 2 CARBOB for PM Flat'!P43="ETOH vol% too low",'Phase 2 CARBOB for PM Flat'!P43,ROUND('Phase 2 CARBOB for PM Flat'!P43,0))</f>
        <v>80</v>
      </c>
      <c r="C22" s="66"/>
      <c r="D22" s="7" t="s">
        <v>53</v>
      </c>
      <c r="E22" s="7"/>
      <c r="F22" s="1" t="str">
        <f>IF(OR(B22&gt;220,B22&lt;0),"INVALID ENTRY SEE PROCEDURES"," ")</f>
        <v xml:space="preserve"> </v>
      </c>
      <c r="G22" s="7"/>
      <c r="H22" s="7"/>
      <c r="I22" s="7"/>
      <c r="J22" s="8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25">
      <c r="A23" s="89" t="s">
        <v>20</v>
      </c>
      <c r="B23" s="92">
        <f>ROUND('Phase 2 CARBOB for PM Flat'!P44,0)</f>
        <v>-1</v>
      </c>
      <c r="C23" s="66"/>
      <c r="D23" s="7" t="s">
        <v>53</v>
      </c>
      <c r="E23" s="7"/>
      <c r="F23" s="1" t="str">
        <f>IF(OR(B23&gt;330,B23&lt;0),"INVALID ENTRY SEE PROCEDURES"," ")</f>
        <v>INVALID ENTRY SEE PROCEDURES</v>
      </c>
      <c r="G23" s="7"/>
      <c r="H23" s="7"/>
      <c r="I23" s="7"/>
      <c r="J23" s="8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 x14ac:dyDescent="0.25">
      <c r="A24" s="89" t="s">
        <v>21</v>
      </c>
      <c r="B24" s="93">
        <f>ROUND('Phase 2 CARBOB for PM Flat'!P45,1)</f>
        <v>0.1</v>
      </c>
      <c r="C24" s="66"/>
      <c r="D24" s="7" t="s">
        <v>83</v>
      </c>
      <c r="E24" s="7"/>
      <c r="F24" s="1" t="str">
        <f>IF(OR(B24&gt;30,B24&lt;0),"INVALID ENTRY SEE PROCEDURES"," ")</f>
        <v xml:space="preserve"> </v>
      </c>
      <c r="G24" s="7"/>
      <c r="H24" s="7"/>
      <c r="I24" s="7"/>
      <c r="J24" s="8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6.5" customHeight="1" x14ac:dyDescent="0.25">
      <c r="A25" s="89" t="s">
        <v>22</v>
      </c>
      <c r="B25" s="94">
        <f>ROUND('Phase 2 CARBOB for PM Flat'!P46,1)</f>
        <v>0</v>
      </c>
      <c r="C25" s="66"/>
      <c r="D25" s="7" t="s">
        <v>83</v>
      </c>
      <c r="E25" s="7"/>
      <c r="F25" s="1" t="str">
        <f>IF(OR(B25&gt;10,B25&lt;0),"INVALID ENTRY SEE PROCEDURES"," ")</f>
        <v xml:space="preserve"> </v>
      </c>
      <c r="G25" s="7"/>
      <c r="H25" s="7"/>
      <c r="I25" s="7"/>
      <c r="J25" s="8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2">
      <c r="A26" s="89"/>
      <c r="B26" s="66" t="s">
        <v>84</v>
      </c>
      <c r="C26" s="66" t="s">
        <v>85</v>
      </c>
      <c r="D26" s="7"/>
      <c r="E26" s="7"/>
      <c r="F26" s="7"/>
      <c r="G26" s="7"/>
      <c r="H26" s="7"/>
      <c r="I26" s="7"/>
      <c r="J26" s="8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6.5" customHeight="1" x14ac:dyDescent="0.25">
      <c r="A27" s="89" t="s">
        <v>86</v>
      </c>
      <c r="B27" s="95">
        <f>'Phase 2 CARBOB for PM Flat'!O48</f>
        <v>2.2000000000000002</v>
      </c>
      <c r="C27" s="96">
        <f>'Phase 2 CARBOB for PM Flat'!O49</f>
        <v>1.8</v>
      </c>
      <c r="D27" s="7" t="s">
        <v>87</v>
      </c>
      <c r="E27" s="7"/>
      <c r="F27" s="1" t="str">
        <f>IF(OR(OR(OR(B27&gt;3.5,C27&lt;0),C27&gt;3.5),B27&lt;0),"INVALID ENTRY SEE PROCEDURES"," ")</f>
        <v xml:space="preserve"> </v>
      </c>
      <c r="G27" s="7"/>
      <c r="H27" s="7"/>
      <c r="I27" s="7"/>
      <c r="J27" s="8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6.5" customHeight="1" x14ac:dyDescent="0.25">
      <c r="A28" s="89"/>
      <c r="B28" s="66"/>
      <c r="C28" s="66"/>
      <c r="D28" s="7"/>
      <c r="E28" s="7"/>
      <c r="F28" s="1" t="str">
        <f>IF(C27&gt;B27,"INVALID ENTRY SEE PROCEDURES"," ")</f>
        <v xml:space="preserve"> </v>
      </c>
      <c r="G28" s="7"/>
      <c r="H28" s="7"/>
      <c r="I28" s="7"/>
      <c r="J28" s="8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25">
      <c r="A29" s="89" t="s">
        <v>23</v>
      </c>
      <c r="B29" s="97">
        <f>ROUND('Phase 2 CARBOB for PM Flat'!P50,0)</f>
        <v>1</v>
      </c>
      <c r="C29" s="66"/>
      <c r="D29" s="7" t="s">
        <v>64</v>
      </c>
      <c r="E29" s="7"/>
      <c r="F29" s="1" t="str">
        <f>IF(OR(B29&gt;80,B29&lt;0),"INVALID ENTRY SEE PROCEDURES"," ")</f>
        <v xml:space="preserve"> </v>
      </c>
      <c r="G29" s="7"/>
      <c r="H29" s="7"/>
      <c r="I29" s="7"/>
      <c r="J29" s="8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 customHeight="1" x14ac:dyDescent="0.25">
      <c r="A30" s="89" t="s">
        <v>65</v>
      </c>
      <c r="B30" s="98">
        <f>ROUND('Phase 2 CARBOB for PM Flat'!P51,2)</f>
        <v>0</v>
      </c>
      <c r="C30" s="66"/>
      <c r="D30" s="7" t="s">
        <v>83</v>
      </c>
      <c r="E30" s="7"/>
      <c r="F30" s="1" t="str">
        <f>IF(OR(B30&gt;1.2,B30&lt;0),"INVALID ENTRY SEE PROCEDURES"," ")</f>
        <v xml:space="preserve"> </v>
      </c>
      <c r="G30" s="7"/>
      <c r="H30" s="7"/>
      <c r="I30" s="7"/>
      <c r="J30" s="8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2">
      <c r="A31" s="89"/>
      <c r="B31" s="7"/>
      <c r="C31" s="7"/>
      <c r="D31" s="7"/>
      <c r="E31" s="7"/>
      <c r="F31" s="7"/>
      <c r="G31" s="7"/>
      <c r="H31" s="7"/>
      <c r="I31" s="7"/>
      <c r="J31" s="8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2">
      <c r="A32" s="89" t="s">
        <v>15</v>
      </c>
      <c r="B32" s="7"/>
      <c r="C32" s="7"/>
      <c r="D32" s="7"/>
      <c r="E32" s="7"/>
      <c r="F32" s="7"/>
      <c r="G32" s="7"/>
      <c r="H32" s="7"/>
      <c r="I32" s="7"/>
      <c r="J32" s="8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2">
      <c r="A33" s="89" t="s">
        <v>16</v>
      </c>
      <c r="B33" s="7"/>
      <c r="C33" s="7"/>
      <c r="D33" s="7"/>
      <c r="E33" s="7"/>
      <c r="F33" s="7"/>
      <c r="G33" s="7"/>
      <c r="H33" s="7"/>
      <c r="I33" s="7"/>
      <c r="J33" s="8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2">
      <c r="A34" s="89"/>
      <c r="B34" s="7"/>
      <c r="C34" s="7"/>
      <c r="D34" s="7"/>
      <c r="E34" s="7"/>
      <c r="F34" s="7"/>
      <c r="G34" s="7"/>
      <c r="H34" s="7"/>
      <c r="I34" s="7"/>
      <c r="J34" s="8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2">
      <c r="A35" s="89"/>
      <c r="B35" s="7"/>
      <c r="C35" s="7"/>
      <c r="D35" s="7"/>
      <c r="E35" s="7"/>
      <c r="F35" s="7"/>
      <c r="G35" s="7"/>
      <c r="H35" s="7"/>
      <c r="I35" s="7"/>
      <c r="J35" s="8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2">
      <c r="A36" s="89" t="s">
        <v>17</v>
      </c>
      <c r="B36" s="7"/>
      <c r="C36" s="7"/>
      <c r="D36" s="7"/>
      <c r="E36" s="7"/>
      <c r="F36" s="7"/>
      <c r="G36" s="7"/>
      <c r="H36" s="7"/>
      <c r="I36" s="7"/>
      <c r="J36" s="8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" customHeight="1" x14ac:dyDescent="0.25">
      <c r="A37" s="89" t="s">
        <v>18</v>
      </c>
      <c r="B37" s="9" t="str">
        <f>'Phase 2 CARBOB for PM Flat'!B23</f>
        <v>F</v>
      </c>
      <c r="C37" s="7"/>
      <c r="D37" s="99" t="str">
        <f t="shared" ref="D37:D42" si="0">IF(AND(B37&lt;&gt;"A",B37&lt;&gt;"F"),"INCORRECT ENTRY  'A' OR 'F' ONLY"," ")</f>
        <v xml:space="preserve"> </v>
      </c>
      <c r="E37" s="7"/>
      <c r="F37" s="7"/>
      <c r="G37" s="7"/>
      <c r="H37" s="7"/>
      <c r="I37" s="7"/>
      <c r="J37" s="8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" customHeight="1" x14ac:dyDescent="0.25">
      <c r="A38" s="89" t="s">
        <v>20</v>
      </c>
      <c r="B38" s="10" t="str">
        <f>'Phase 2 CARBOB for PM Flat'!B24</f>
        <v>F</v>
      </c>
      <c r="C38" s="7"/>
      <c r="D38" s="99" t="str">
        <f t="shared" si="0"/>
        <v xml:space="preserve"> </v>
      </c>
      <c r="E38" s="7"/>
      <c r="F38" s="7"/>
      <c r="G38" s="7"/>
      <c r="H38" s="7"/>
      <c r="I38" s="7"/>
      <c r="J38" s="8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" customHeight="1" x14ac:dyDescent="0.25">
      <c r="A39" s="89" t="s">
        <v>21</v>
      </c>
      <c r="B39" s="10" t="str">
        <f>'Phase 2 CARBOB for PM Flat'!B25</f>
        <v>F</v>
      </c>
      <c r="C39" s="7"/>
      <c r="D39" s="99" t="str">
        <f t="shared" si="0"/>
        <v xml:space="preserve"> </v>
      </c>
      <c r="E39" s="7"/>
      <c r="F39" s="7"/>
      <c r="G39" s="7"/>
      <c r="H39" s="7"/>
      <c r="I39" s="7"/>
      <c r="J39" s="8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 x14ac:dyDescent="0.25">
      <c r="A40" s="89" t="s">
        <v>22</v>
      </c>
      <c r="B40" s="10" t="str">
        <f>'Phase 2 CARBOB for PM Flat'!B26</f>
        <v>F</v>
      </c>
      <c r="C40" s="7"/>
      <c r="D40" s="99" t="str">
        <f t="shared" si="0"/>
        <v xml:space="preserve"> </v>
      </c>
      <c r="E40" s="7"/>
      <c r="F40" s="7"/>
      <c r="G40" s="7"/>
      <c r="H40" s="7"/>
      <c r="I40" s="7"/>
      <c r="J40" s="8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 x14ac:dyDescent="0.25">
      <c r="A41" s="89" t="s">
        <v>23</v>
      </c>
      <c r="B41" s="10" t="str">
        <f>'Phase 2 CARBOB for PM Flat'!B27</f>
        <v>F</v>
      </c>
      <c r="C41" s="7"/>
      <c r="D41" s="99" t="str">
        <f t="shared" si="0"/>
        <v xml:space="preserve"> </v>
      </c>
      <c r="E41" s="7"/>
      <c r="F41" s="7"/>
      <c r="G41" s="7"/>
      <c r="H41" s="7"/>
      <c r="I41" s="7"/>
      <c r="J41" s="8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.75" customHeight="1" x14ac:dyDescent="0.25">
      <c r="A42" s="89" t="s">
        <v>25</v>
      </c>
      <c r="B42" s="12" t="str">
        <f>'Phase 2 CARBOB for PM Flat'!B28</f>
        <v>F</v>
      </c>
      <c r="C42" s="7"/>
      <c r="D42" s="99" t="str">
        <f t="shared" si="0"/>
        <v xml:space="preserve"> </v>
      </c>
      <c r="E42" s="7"/>
      <c r="F42" s="7"/>
      <c r="G42" s="7"/>
      <c r="H42" s="7"/>
      <c r="I42" s="7"/>
      <c r="J42" s="8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2">
      <c r="A43" s="89"/>
      <c r="B43" s="7"/>
      <c r="C43" s="7"/>
      <c r="D43" s="7"/>
      <c r="E43" s="7"/>
      <c r="F43" s="7"/>
      <c r="G43" s="7"/>
      <c r="H43" s="7"/>
      <c r="I43" s="7"/>
      <c r="J43" s="8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25">
      <c r="A44" s="90"/>
      <c r="B44" s="7"/>
      <c r="C44" s="7"/>
      <c r="D44" s="7"/>
      <c r="E44" s="7"/>
      <c r="F44" s="7"/>
      <c r="G44" s="7"/>
      <c r="H44" s="7"/>
      <c r="I44" s="7"/>
      <c r="J44" s="8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25">
      <c r="A45" s="90" t="s">
        <v>88</v>
      </c>
      <c r="B45" s="7"/>
      <c r="C45" s="7"/>
      <c r="D45" s="7"/>
      <c r="E45" s="7"/>
      <c r="F45" s="7"/>
      <c r="G45" s="7"/>
      <c r="H45" s="7"/>
      <c r="I45" s="7"/>
      <c r="J45" s="8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2">
      <c r="A46" s="89"/>
      <c r="B46" s="7"/>
      <c r="C46" s="7"/>
      <c r="D46" s="7"/>
      <c r="E46" s="7"/>
      <c r="F46" s="7"/>
      <c r="G46" s="7"/>
      <c r="H46" s="7"/>
      <c r="I46" s="7"/>
      <c r="J46" s="8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2">
      <c r="A47" s="89"/>
      <c r="B47" s="7"/>
      <c r="C47" s="7"/>
      <c r="D47" s="7"/>
      <c r="E47" s="7"/>
      <c r="F47" s="7"/>
      <c r="G47" s="7"/>
      <c r="H47" s="100"/>
      <c r="I47" s="7"/>
      <c r="J47" s="8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2">
      <c r="A48" s="89"/>
      <c r="B48" s="7"/>
      <c r="C48" s="7"/>
      <c r="D48" s="7"/>
      <c r="E48" s="7"/>
      <c r="F48" s="7"/>
      <c r="G48" s="7"/>
      <c r="H48" s="100"/>
      <c r="I48" s="7"/>
      <c r="J48" s="8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2">
      <c r="A49" s="89"/>
      <c r="B49" s="7"/>
      <c r="C49" s="7"/>
      <c r="D49" s="7"/>
      <c r="E49" s="7"/>
      <c r="F49" s="7"/>
      <c r="G49" s="7"/>
      <c r="H49" s="7"/>
      <c r="I49" s="7"/>
      <c r="J49" s="8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25">
      <c r="A50" s="89"/>
      <c r="B50" s="35" t="s">
        <v>89</v>
      </c>
      <c r="C50" s="7"/>
      <c r="D50" s="7"/>
      <c r="E50" s="7"/>
      <c r="F50" s="7"/>
      <c r="G50" s="7"/>
      <c r="H50" s="7"/>
      <c r="I50" s="7"/>
      <c r="J50" s="8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25">
      <c r="A51" s="89"/>
      <c r="B51" s="35"/>
      <c r="C51" s="7"/>
      <c r="D51" s="7"/>
      <c r="E51" s="7"/>
      <c r="F51" s="7"/>
      <c r="G51" s="7"/>
      <c r="H51" s="7"/>
      <c r="I51" s="7"/>
      <c r="J51" s="8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2">
      <c r="A52" s="89"/>
      <c r="B52" s="7" t="s">
        <v>90</v>
      </c>
      <c r="C52" s="7"/>
      <c r="D52" s="7"/>
      <c r="E52" s="7"/>
      <c r="F52" s="7"/>
      <c r="G52" s="7"/>
      <c r="H52" s="7"/>
      <c r="I52" s="7"/>
      <c r="J52" s="8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2">
      <c r="A53" s="89"/>
      <c r="B53" s="7"/>
      <c r="C53" s="7"/>
      <c r="D53" s="7"/>
      <c r="E53" s="7"/>
      <c r="F53" s="7"/>
      <c r="G53" s="7"/>
      <c r="H53" s="7"/>
      <c r="I53" s="7"/>
      <c r="J53" s="8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2">
      <c r="A54" s="89"/>
      <c r="B54" s="7" t="s">
        <v>91</v>
      </c>
      <c r="C54" s="7"/>
      <c r="D54" s="7" t="s">
        <v>92</v>
      </c>
      <c r="E54" s="7"/>
      <c r="F54" s="7"/>
      <c r="G54" s="7"/>
      <c r="H54" s="7"/>
      <c r="I54" s="7"/>
      <c r="J54" s="8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2">
      <c r="A55" s="89"/>
      <c r="B55" s="7" t="s">
        <v>93</v>
      </c>
      <c r="C55" s="7"/>
      <c r="D55" s="7" t="s">
        <v>93</v>
      </c>
      <c r="E55" s="7" t="s">
        <v>93</v>
      </c>
      <c r="F55" s="7"/>
      <c r="G55" s="7"/>
      <c r="H55" s="7"/>
      <c r="I55" s="7"/>
      <c r="J55" s="8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2">
      <c r="A56" s="89"/>
      <c r="B56" s="7" t="s">
        <v>94</v>
      </c>
      <c r="C56" s="7"/>
      <c r="D56" s="101">
        <f>($L$170)</f>
        <v>9.5787859879186961</v>
      </c>
      <c r="E56" s="7"/>
      <c r="F56" s="102"/>
      <c r="G56" s="7"/>
      <c r="H56" s="7"/>
      <c r="I56" s="7"/>
      <c r="J56" s="8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2">
      <c r="A57" s="89"/>
      <c r="B57" s="7" t="s">
        <v>95</v>
      </c>
      <c r="C57" s="7"/>
      <c r="D57" s="101">
        <f>($L$171)</f>
        <v>-15.6829758532269</v>
      </c>
      <c r="E57" s="7"/>
      <c r="F57" s="102"/>
      <c r="G57" s="7"/>
      <c r="H57" s="7"/>
      <c r="I57" s="7"/>
      <c r="J57" s="8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2">
      <c r="A58" s="89"/>
      <c r="B58" s="7" t="s">
        <v>96</v>
      </c>
      <c r="C58" s="7"/>
      <c r="D58" s="101">
        <f>($L$176)</f>
        <v>-70.655358198372596</v>
      </c>
      <c r="E58" s="102" t="s">
        <v>93</v>
      </c>
      <c r="F58" s="102"/>
      <c r="G58" s="7"/>
      <c r="H58" s="7"/>
      <c r="I58" s="7"/>
      <c r="J58" s="8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2">
      <c r="A59" s="89"/>
      <c r="B59" s="7"/>
      <c r="C59" s="7"/>
      <c r="D59" s="102"/>
      <c r="E59" s="102"/>
      <c r="F59" s="102"/>
      <c r="G59" s="7"/>
      <c r="H59" s="7"/>
      <c r="I59" s="7"/>
      <c r="J59" s="8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2">
      <c r="A60" s="89"/>
      <c r="B60" s="7"/>
      <c r="C60" s="7"/>
      <c r="D60" s="7"/>
      <c r="E60" s="7"/>
      <c r="F60" s="7"/>
      <c r="G60" s="7"/>
      <c r="H60" s="7"/>
      <c r="I60" s="7"/>
      <c r="J60" s="8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25">
      <c r="A61" s="89"/>
      <c r="B61" s="35" t="s">
        <v>97</v>
      </c>
      <c r="C61" s="7"/>
      <c r="D61" s="7"/>
      <c r="E61" s="7"/>
      <c r="F61" s="7"/>
      <c r="G61" s="7"/>
      <c r="H61" s="7"/>
      <c r="I61" s="7"/>
      <c r="J61" s="8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2">
      <c r="A62" s="89"/>
      <c r="B62" s="7"/>
      <c r="C62" s="7"/>
      <c r="D62" s="7"/>
      <c r="E62" s="7"/>
      <c r="F62" s="7"/>
      <c r="G62" s="7"/>
      <c r="H62" s="7"/>
      <c r="I62" s="7"/>
      <c r="J62" s="8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2">
      <c r="A63" s="89"/>
      <c r="B63" s="7" t="s">
        <v>90</v>
      </c>
      <c r="C63" s="7"/>
      <c r="D63" s="7"/>
      <c r="E63" s="7"/>
      <c r="F63" s="7"/>
      <c r="G63" s="7"/>
      <c r="H63" s="7"/>
      <c r="I63" s="7"/>
      <c r="J63" s="8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2">
      <c r="A64" s="89"/>
      <c r="B64" s="7"/>
      <c r="C64" s="7"/>
      <c r="D64" s="7"/>
      <c r="E64" s="7"/>
      <c r="F64" s="7"/>
      <c r="G64" s="7"/>
      <c r="H64" s="7"/>
      <c r="I64" s="7"/>
      <c r="J64" s="89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2">
      <c r="A65" s="89"/>
      <c r="B65" s="7" t="s">
        <v>91</v>
      </c>
      <c r="C65" s="7"/>
      <c r="D65" s="7" t="s">
        <v>98</v>
      </c>
      <c r="E65" s="7"/>
      <c r="F65" s="7"/>
      <c r="G65" s="7"/>
      <c r="H65" s="7"/>
      <c r="I65" s="7"/>
      <c r="J65" s="8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2">
      <c r="A66" s="89"/>
      <c r="B66" s="7" t="s">
        <v>93</v>
      </c>
      <c r="C66" s="7"/>
      <c r="D66" s="7" t="s">
        <v>93</v>
      </c>
      <c r="E66" s="7" t="s">
        <v>93</v>
      </c>
      <c r="F66" s="7"/>
      <c r="G66" s="7"/>
      <c r="H66" s="7"/>
      <c r="I66" s="7"/>
      <c r="J66" s="8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2">
      <c r="A67" s="89"/>
      <c r="B67" s="7" t="s">
        <v>94</v>
      </c>
      <c r="C67" s="102"/>
      <c r="D67" s="101">
        <f>($L$264)</f>
        <v>9.5787859879186961</v>
      </c>
      <c r="E67" s="7"/>
      <c r="F67" s="102"/>
      <c r="G67" s="7"/>
      <c r="H67" s="7"/>
      <c r="I67" s="7"/>
      <c r="J67" s="8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2">
      <c r="A68" s="89"/>
      <c r="B68" s="7" t="s">
        <v>95</v>
      </c>
      <c r="C68" s="102"/>
      <c r="D68" s="101">
        <f>($L$265)</f>
        <v>-15.682751012291714</v>
      </c>
      <c r="E68" s="7"/>
      <c r="F68" s="102"/>
      <c r="G68" s="7"/>
      <c r="H68" s="7"/>
      <c r="I68" s="7"/>
      <c r="J68" s="8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2">
      <c r="A69" s="89"/>
      <c r="B69" s="7" t="s">
        <v>96</v>
      </c>
      <c r="C69" s="102"/>
      <c r="D69" s="101">
        <f>($L$270)</f>
        <v>-70.655358198372596</v>
      </c>
      <c r="E69" s="102" t="s">
        <v>93</v>
      </c>
      <c r="F69" s="102"/>
      <c r="G69" s="7"/>
      <c r="H69" s="7"/>
      <c r="I69" s="7"/>
      <c r="J69" s="8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2">
      <c r="A70" s="89"/>
      <c r="B70" s="7"/>
      <c r="C70" s="102"/>
      <c r="D70" s="7"/>
      <c r="E70" s="7"/>
      <c r="F70" s="102"/>
      <c r="G70" s="102"/>
      <c r="H70" s="102"/>
      <c r="I70" s="7"/>
      <c r="J70" s="8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" customHeight="1" x14ac:dyDescent="0.25">
      <c r="A71" s="103" t="s">
        <v>99</v>
      </c>
      <c r="B71" s="7"/>
      <c r="C71" s="112" t="str">
        <f>IF(AND(AND(AND(AND(AND(ROUND(L170,2)&lt;0.05,ROUND(L171,2)&lt;0.05),ROUND(L176,2)&lt;0.05),ROUND(L264,2)&lt;0.05),ROUND(L265,2)&lt;0.05),ROUND(L270,2)&lt;0.05),"PASSES","FAILS")</f>
        <v>FAILS</v>
      </c>
      <c r="D71" s="105" t="s">
        <v>100</v>
      </c>
      <c r="E71" s="102"/>
      <c r="F71" s="102"/>
      <c r="G71" s="102"/>
      <c r="H71" s="102"/>
      <c r="I71" s="7"/>
      <c r="J71" s="8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" customHeight="1" x14ac:dyDescent="0.25">
      <c r="A72" s="103" t="s">
        <v>101</v>
      </c>
      <c r="B72" s="7"/>
      <c r="C72" s="102"/>
      <c r="D72" s="102"/>
      <c r="E72" s="7"/>
      <c r="F72" s="102"/>
      <c r="G72" s="102"/>
      <c r="H72" s="7"/>
      <c r="I72" s="7"/>
      <c r="J72" s="8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" customHeight="1" x14ac:dyDescent="0.25">
      <c r="A73" s="14" t="str">
        <f>IF(AND(AND(AND(AND(AND(ROUND(L170,2)&lt;0.05,ROUND(L171,2)&lt;0.05),ROUND(L176,2)&lt;0.05),ROUND(L264,2)&lt;0.05),ROUND(L265,2)&lt;0.05),ROUND(L270,2)&lt;0.05),"LESS THAN OR EQUAL TO 0.04%","GREATER THAN OR EQUAL TO 0.05%")</f>
        <v>GREATER THAN OR EQUAL TO 0.05%</v>
      </c>
      <c r="B73" s="7"/>
      <c r="C73" s="7"/>
      <c r="D73" s="7"/>
      <c r="E73" s="7"/>
      <c r="F73" s="7"/>
      <c r="G73" s="7"/>
      <c r="H73" s="7"/>
      <c r="I73" s="7"/>
      <c r="J73" s="8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2">
      <c r="A74" s="89"/>
      <c r="B74" s="7"/>
      <c r="C74" s="7"/>
      <c r="D74" s="7"/>
      <c r="E74" s="7"/>
      <c r="F74" s="7"/>
      <c r="G74" s="7"/>
      <c r="H74" s="7"/>
      <c r="I74" s="7"/>
      <c r="J74" s="8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2">
      <c r="A75" s="89"/>
      <c r="B75" s="7"/>
      <c r="C75" s="7"/>
      <c r="D75" s="7"/>
      <c r="E75" s="7"/>
      <c r="F75" s="7"/>
      <c r="G75" s="7"/>
      <c r="H75" s="7"/>
      <c r="I75" s="7"/>
      <c r="J75" s="8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2">
      <c r="A76" s="87"/>
      <c r="B76" s="87"/>
      <c r="C76" s="87"/>
      <c r="D76" s="87"/>
      <c r="E76" s="87"/>
      <c r="F76" s="87"/>
      <c r="G76" s="87"/>
      <c r="H76" s="87"/>
      <c r="I76" s="8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2">
      <c r="A77" s="7" t="s">
        <v>102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2">
      <c r="A78" s="7"/>
      <c r="B78" s="7" t="s">
        <v>103</v>
      </c>
      <c r="C78" s="7" t="s">
        <v>104</v>
      </c>
      <c r="D78" s="7" t="s">
        <v>105</v>
      </c>
      <c r="E78" s="7" t="s">
        <v>106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2">
      <c r="A79" s="7" t="s">
        <v>107</v>
      </c>
      <c r="B79" s="7">
        <f>IF(AND(C27&gt;=1.8,B27&lt;=2.2),2,100)</f>
        <v>2</v>
      </c>
      <c r="C79" s="7">
        <f>IF(AND(C27&gt;=1.8,B27&lt;=2.2),2,100)</f>
        <v>2</v>
      </c>
      <c r="D79" s="7">
        <f>IF(AND(C27&gt;=1.8,B27&lt;=2.2),2,100)</f>
        <v>2</v>
      </c>
      <c r="E79" s="7">
        <f>IF(AND(C27&gt;=1.8,B27&lt;=2.2),2,100)</f>
        <v>2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2">
      <c r="A80" s="7" t="s">
        <v>108</v>
      </c>
      <c r="B80" s="7">
        <f>IF(AND(AND(C27&gt;=1.8,C27&lt;=2.2),B27&gt;2.2),2,100)</f>
        <v>100</v>
      </c>
      <c r="C80" s="7">
        <f>IF(AND(AND(C27&gt;=1.8,C27&lt;=2.2),B27&gt;2.2),1.8,100)</f>
        <v>100</v>
      </c>
      <c r="D80" s="102">
        <f>IF(AND(AND(C27&gt;=1.8,C27&lt;=2.2),B27&gt;2.2),B27,100)</f>
        <v>100</v>
      </c>
      <c r="E80" s="102">
        <f>IF(AND(AND(C27&gt;=1.8,C27&lt;=2.2),B27&gt;2.2),C27,100)</f>
        <v>100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2">
      <c r="A81" s="7" t="s">
        <v>109</v>
      </c>
      <c r="B81" s="7">
        <f>IF(AND(AND(C27&lt;1.8,B27&gt;=1.8),B27&lt;=2.2),2.2,100)</f>
        <v>100</v>
      </c>
      <c r="C81" s="7">
        <f>IF(AND(AND(C27&lt;1.8,B27&gt;=1.8),B27&lt;=2.2),2,100)</f>
        <v>100</v>
      </c>
      <c r="D81" s="7">
        <f>IF(AND(AND(C27&lt;1.8,B27&gt;=1.8),B27&lt;=2.2),B27,100)</f>
        <v>100</v>
      </c>
      <c r="E81" s="7">
        <f>IF(AND(AND(C27&lt;1.8,B27&gt;=1.8),B27&lt;=2.2),C27,100)</f>
        <v>100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2">
      <c r="A82" s="7" t="s">
        <v>110</v>
      </c>
      <c r="B82" s="7">
        <f t="shared" ref="B82:C82" si="1">IF(AND($C$27&lt;1.8,$B$27&gt;2.2),2,100)</f>
        <v>100</v>
      </c>
      <c r="C82" s="7">
        <f t="shared" si="1"/>
        <v>100</v>
      </c>
      <c r="D82" s="7">
        <f t="shared" ref="D82:E82" si="2">IF(AND($C$27&lt;1.8,$B$27&gt;2.2),B27,100)</f>
        <v>100</v>
      </c>
      <c r="E82" s="7">
        <f t="shared" si="2"/>
        <v>100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2">
      <c r="A83" s="7" t="s">
        <v>111</v>
      </c>
      <c r="B83" s="7">
        <f>IF(AND(C27&lt;1.8,B27&lt;1.8),2,100)</f>
        <v>100</v>
      </c>
      <c r="C83" s="7">
        <f>IF(AND(C27&lt;1.8,B27&lt;1.8),2,100)</f>
        <v>100</v>
      </c>
      <c r="D83" s="7">
        <f>IF(AND(C27&lt;1.8,B27&lt;1.8),B27,100)</f>
        <v>100</v>
      </c>
      <c r="E83" s="7">
        <f>IF(AND(C27&lt;1.8,B27&lt;1.8),C27,100)</f>
        <v>100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2">
      <c r="A84" s="7" t="s">
        <v>112</v>
      </c>
      <c r="B84" s="7">
        <f>IF(AND(C27&gt;2.2,B27&gt;2.2),2,100)</f>
        <v>100</v>
      </c>
      <c r="C84" s="7">
        <f>IF(AND(C27&gt;2.2,B27&gt;2.2),2,100)</f>
        <v>100</v>
      </c>
      <c r="D84" s="7">
        <f>IF(AND(C27&gt;2.2,B27&gt;2.2),B27,100)</f>
        <v>100</v>
      </c>
      <c r="E84" s="7">
        <f>IF(AND(C27&gt;2.2,B27&gt;2.2),C27,100)</f>
        <v>100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2">
      <c r="A85" s="106" t="s">
        <v>113</v>
      </c>
      <c r="B85" s="107">
        <f t="shared" ref="B85:E85" si="3">SUM(B79:B84)-500</f>
        <v>2</v>
      </c>
      <c r="C85" s="107">
        <f t="shared" si="3"/>
        <v>2</v>
      </c>
      <c r="D85" s="107">
        <f t="shared" si="3"/>
        <v>2</v>
      </c>
      <c r="E85" s="107">
        <f t="shared" si="3"/>
        <v>2</v>
      </c>
      <c r="F85" s="10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2">
      <c r="A86" s="107"/>
      <c r="B86" s="107"/>
      <c r="C86" s="107"/>
      <c r="D86" s="107"/>
      <c r="E86" s="10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25">
      <c r="A93" s="35" t="s">
        <v>114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2">
      <c r="A95" s="7"/>
      <c r="B95" s="7"/>
      <c r="C95" s="7"/>
      <c r="D95" s="7"/>
      <c r="E95" s="7"/>
      <c r="F95" s="7" t="s">
        <v>115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2">
      <c r="A96" s="7" t="s">
        <v>17</v>
      </c>
      <c r="B96" s="7" t="s">
        <v>116</v>
      </c>
      <c r="C96" s="7" t="s">
        <v>117</v>
      </c>
      <c r="D96" s="7"/>
      <c r="E96" s="7"/>
      <c r="F96" s="7"/>
      <c r="G96" s="7" t="s">
        <v>118</v>
      </c>
      <c r="H96" s="7" t="s">
        <v>118</v>
      </c>
      <c r="I96" s="7" t="s">
        <v>119</v>
      </c>
      <c r="J96" s="7" t="s">
        <v>119</v>
      </c>
      <c r="K96" s="7" t="s">
        <v>98</v>
      </c>
      <c r="L96" s="7"/>
      <c r="M96" s="7"/>
      <c r="N96" s="7" t="s">
        <v>120</v>
      </c>
      <c r="O96" s="7"/>
      <c r="P96" s="7"/>
      <c r="Q96" s="7"/>
      <c r="R96" s="7" t="s">
        <v>121</v>
      </c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2">
      <c r="A97" s="7" t="s">
        <v>81</v>
      </c>
      <c r="B97" s="7">
        <v>7</v>
      </c>
      <c r="C97" s="7">
        <v>7</v>
      </c>
      <c r="D97" s="7"/>
      <c r="E97" s="7"/>
      <c r="F97" s="7" t="s">
        <v>91</v>
      </c>
      <c r="G97" s="7" t="s">
        <v>122</v>
      </c>
      <c r="H97" s="7" t="s">
        <v>123</v>
      </c>
      <c r="I97" s="7" t="s">
        <v>122</v>
      </c>
      <c r="J97" s="7" t="s">
        <v>123</v>
      </c>
      <c r="K97" s="7" t="s">
        <v>122</v>
      </c>
      <c r="L97" s="7" t="s">
        <v>123</v>
      </c>
      <c r="M97" s="7"/>
      <c r="N97" s="7" t="s">
        <v>91</v>
      </c>
      <c r="O97" s="7" t="s">
        <v>118</v>
      </c>
      <c r="P97" s="7" t="s">
        <v>119</v>
      </c>
      <c r="Q97" s="7"/>
      <c r="R97" s="7" t="s">
        <v>91</v>
      </c>
      <c r="S97" s="7"/>
      <c r="T97" s="7" t="s">
        <v>124</v>
      </c>
      <c r="U97" s="7"/>
      <c r="V97" s="7"/>
      <c r="W97" s="7"/>
      <c r="X97" s="7"/>
      <c r="Y97" s="7"/>
      <c r="Z97" s="7"/>
    </row>
    <row r="98" spans="1:26" ht="15.75" customHeight="1" x14ac:dyDescent="0.2">
      <c r="A98" s="7" t="s">
        <v>18</v>
      </c>
      <c r="B98" s="7">
        <f>IF(B37="A",200,210)</f>
        <v>210</v>
      </c>
      <c r="C98" s="109">
        <f t="shared" ref="C98:C101" si="4">VALUE(B22)</f>
        <v>80</v>
      </c>
      <c r="D98" s="7"/>
      <c r="E98" s="7"/>
      <c r="F98" s="7" t="s">
        <v>94</v>
      </c>
      <c r="G98" s="63" t="s">
        <v>125</v>
      </c>
      <c r="H98" s="63">
        <f>($J$170)</f>
        <v>33.150147967615403</v>
      </c>
      <c r="I98" s="63" t="s">
        <v>125</v>
      </c>
      <c r="J98" s="63">
        <f>($K$170)</f>
        <v>4.6133901229462673</v>
      </c>
      <c r="K98" s="63" t="s">
        <v>125</v>
      </c>
      <c r="L98" s="63">
        <f>($L$170)</f>
        <v>9.5787859879186961</v>
      </c>
      <c r="M98" s="7"/>
      <c r="N98" s="7" t="s">
        <v>94</v>
      </c>
      <c r="O98" s="7">
        <v>0.17399999999999999</v>
      </c>
      <c r="P98" s="7">
        <v>0.82599999999999996</v>
      </c>
      <c r="Q98" s="7"/>
      <c r="R98" s="7" t="s">
        <v>65</v>
      </c>
      <c r="S98" s="7"/>
      <c r="T98" s="7">
        <v>0.17</v>
      </c>
      <c r="U98" s="7"/>
      <c r="V98" s="7"/>
      <c r="W98" s="7"/>
      <c r="X98" s="7"/>
      <c r="Y98" s="7"/>
      <c r="Z98" s="7"/>
    </row>
    <row r="99" spans="1:26" ht="15.75" customHeight="1" x14ac:dyDescent="0.2">
      <c r="A99" s="7" t="s">
        <v>20</v>
      </c>
      <c r="B99" s="7">
        <f>IF(B38="A",290,300)</f>
        <v>300</v>
      </c>
      <c r="C99" s="109">
        <f t="shared" si="4"/>
        <v>-1</v>
      </c>
      <c r="D99" s="7"/>
      <c r="E99" s="7"/>
      <c r="F99" s="7" t="s">
        <v>95</v>
      </c>
      <c r="G99" s="63" t="s">
        <v>125</v>
      </c>
      <c r="H99" s="63">
        <f>($J$171)</f>
        <v>4.9835393550459317</v>
      </c>
      <c r="I99" s="63" t="s">
        <v>125</v>
      </c>
      <c r="J99" s="63">
        <f>($K$171)</f>
        <v>-20.785182849783034</v>
      </c>
      <c r="K99" s="63" t="s">
        <v>125</v>
      </c>
      <c r="L99" s="63">
        <f>($L$171)</f>
        <v>-15.6829758532269</v>
      </c>
      <c r="M99" s="7"/>
      <c r="N99" s="7" t="s">
        <v>95</v>
      </c>
      <c r="O99" s="7">
        <v>0.19800000000000001</v>
      </c>
      <c r="P99" s="7">
        <v>0.80200000000000005</v>
      </c>
      <c r="Q99" s="7"/>
      <c r="R99" s="7" t="s">
        <v>126</v>
      </c>
      <c r="S99" s="7"/>
      <c r="T99" s="7">
        <v>1</v>
      </c>
      <c r="U99" s="7"/>
      <c r="V99" s="7"/>
      <c r="W99" s="7"/>
      <c r="X99" s="7"/>
      <c r="Y99" s="7"/>
      <c r="Z99" s="7"/>
    </row>
    <row r="100" spans="1:26" ht="15.75" customHeight="1" x14ac:dyDescent="0.2">
      <c r="A100" s="7" t="s">
        <v>21</v>
      </c>
      <c r="B100" s="7">
        <f>IF(B39="A",22,25)</f>
        <v>25</v>
      </c>
      <c r="C100" s="102">
        <f t="shared" si="4"/>
        <v>0.1</v>
      </c>
      <c r="D100" s="7"/>
      <c r="E100" s="7"/>
      <c r="F100" s="7" t="s">
        <v>65</v>
      </c>
      <c r="G100" s="63">
        <f>($J$172)</f>
        <v>-50.316914650530634</v>
      </c>
      <c r="H100" s="63" t="s">
        <v>125</v>
      </c>
      <c r="I100" s="63">
        <f>($K$172)</f>
        <v>-70.966337732454321</v>
      </c>
      <c r="J100" s="63" t="s">
        <v>125</v>
      </c>
      <c r="K100" s="63">
        <f>($L$172)</f>
        <v>-66.993825098779823</v>
      </c>
      <c r="L100" s="63" t="s">
        <v>125</v>
      </c>
      <c r="M100" s="7"/>
      <c r="N100" s="7" t="s">
        <v>127</v>
      </c>
      <c r="O100" s="7">
        <v>8.8999999999999996E-2</v>
      </c>
      <c r="P100" s="7">
        <v>0.91100000000000003</v>
      </c>
      <c r="Q100" s="7"/>
      <c r="R100" s="7" t="s">
        <v>128</v>
      </c>
      <c r="S100" s="7"/>
      <c r="T100" s="7">
        <v>3.5000000000000003E-2</v>
      </c>
      <c r="U100" s="7"/>
      <c r="V100" s="7"/>
      <c r="W100" s="7"/>
      <c r="X100" s="7"/>
      <c r="Y100" s="7"/>
      <c r="Z100" s="7"/>
    </row>
    <row r="101" spans="1:26" ht="15.75" customHeight="1" x14ac:dyDescent="0.2">
      <c r="A101" s="7" t="s">
        <v>22</v>
      </c>
      <c r="B101" s="7">
        <f>IF(B40="A",4,6)</f>
        <v>6</v>
      </c>
      <c r="C101" s="102">
        <f t="shared" si="4"/>
        <v>0</v>
      </c>
      <c r="D101" s="7"/>
      <c r="E101" s="7"/>
      <c r="F101" s="7" t="s">
        <v>126</v>
      </c>
      <c r="G101" s="63">
        <f>($J$173)</f>
        <v>-87.621946609973392</v>
      </c>
      <c r="H101" s="63" t="s">
        <v>125</v>
      </c>
      <c r="I101" s="63">
        <f>($K$173)</f>
        <v>-80.10590409827482</v>
      </c>
      <c r="J101" s="63" t="s">
        <v>125</v>
      </c>
      <c r="K101" s="63">
        <f>($L$173)</f>
        <v>-81.378936012028674</v>
      </c>
      <c r="L101" s="63" t="s">
        <v>125</v>
      </c>
      <c r="M101" s="7"/>
      <c r="N101" s="7"/>
      <c r="O101" s="7"/>
      <c r="P101" s="7"/>
      <c r="Q101" s="7"/>
      <c r="R101" s="7" t="s">
        <v>129</v>
      </c>
      <c r="S101" s="7"/>
      <c r="T101" s="7">
        <v>1.6E-2</v>
      </c>
      <c r="U101" s="7"/>
      <c r="V101" s="7"/>
      <c r="W101" s="7"/>
      <c r="X101" s="7"/>
      <c r="Y101" s="7"/>
      <c r="Z101" s="7"/>
    </row>
    <row r="102" spans="1:26" ht="15.75" customHeight="1" x14ac:dyDescent="0.2">
      <c r="A102" s="7" t="s">
        <v>86</v>
      </c>
      <c r="B102" s="7">
        <f>VALUE(B85)</f>
        <v>2</v>
      </c>
      <c r="C102" s="102">
        <f>VALUE(D85)</f>
        <v>2</v>
      </c>
      <c r="D102" s="7"/>
      <c r="E102" s="7"/>
      <c r="F102" s="7" t="s">
        <v>128</v>
      </c>
      <c r="G102" s="63">
        <f>($J$174)</f>
        <v>36.308973507536955</v>
      </c>
      <c r="H102" s="63" t="s">
        <v>125</v>
      </c>
      <c r="I102" s="63">
        <f>($K$174)</f>
        <v>-56.38056462421882</v>
      </c>
      <c r="J102" s="63" t="s">
        <v>125</v>
      </c>
      <c r="K102" s="63">
        <f>($L$174)</f>
        <v>-21.900178183657438</v>
      </c>
      <c r="L102" s="63" t="s">
        <v>125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2">
      <c r="A103" s="7" t="s">
        <v>23</v>
      </c>
      <c r="B103" s="7">
        <f>IF(B41="A",30,40)</f>
        <v>40</v>
      </c>
      <c r="C103" s="109">
        <f t="shared" ref="C103:C104" si="5">VALUE(B29)</f>
        <v>1</v>
      </c>
      <c r="D103" s="7"/>
      <c r="E103" s="7"/>
      <c r="F103" s="7" t="s">
        <v>129</v>
      </c>
      <c r="G103" s="63">
        <f>($J$175)</f>
        <v>30.761615578283948</v>
      </c>
      <c r="H103" s="63" t="s">
        <v>125</v>
      </c>
      <c r="I103" s="63">
        <f>($K$175)</f>
        <v>-72.470916226423086</v>
      </c>
      <c r="J103" s="63" t="s">
        <v>125</v>
      </c>
      <c r="K103" s="63">
        <f>($L$175)</f>
        <v>-39.674942907144704</v>
      </c>
      <c r="L103" s="63" t="s">
        <v>125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2">
      <c r="A104" s="7" t="s">
        <v>25</v>
      </c>
      <c r="B104" s="7">
        <f>IF(B42="A",0.8,1)</f>
        <v>1</v>
      </c>
      <c r="C104" s="101">
        <f t="shared" si="5"/>
        <v>0</v>
      </c>
      <c r="D104" s="7"/>
      <c r="E104" s="7"/>
      <c r="F104" s="7" t="s">
        <v>96</v>
      </c>
      <c r="G104" s="63">
        <f>($J$176)</f>
        <v>-55.296948805224254</v>
      </c>
      <c r="H104" s="63" t="s">
        <v>125</v>
      </c>
      <c r="I104" s="63">
        <f>($K$176)</f>
        <v>-74.303333301779801</v>
      </c>
      <c r="J104" s="63" t="s">
        <v>125</v>
      </c>
      <c r="K104" s="63">
        <f>($L$176)</f>
        <v>-70.655358198372596</v>
      </c>
      <c r="L104" s="63" t="s">
        <v>125</v>
      </c>
      <c r="M104" s="7"/>
      <c r="N104" s="7" t="s">
        <v>130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 t="s">
        <v>131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2">
      <c r="A107" s="7" t="s">
        <v>132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2">
      <c r="A108" s="7"/>
      <c r="B108" s="7" t="s">
        <v>118</v>
      </c>
      <c r="C108" s="7" t="s">
        <v>118</v>
      </c>
      <c r="D108" s="7"/>
      <c r="E108" s="7" t="s">
        <v>119</v>
      </c>
      <c r="F108" s="7" t="s">
        <v>119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2">
      <c r="A109" s="7" t="s">
        <v>17</v>
      </c>
      <c r="B109" s="7" t="s">
        <v>133</v>
      </c>
      <c r="C109" s="7" t="s">
        <v>134</v>
      </c>
      <c r="D109" s="7"/>
      <c r="E109" s="7" t="s">
        <v>133</v>
      </c>
      <c r="F109" s="7" t="s">
        <v>134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2">
      <c r="A110" s="7" t="s">
        <v>81</v>
      </c>
      <c r="B110" s="7">
        <v>8.6514190000000006</v>
      </c>
      <c r="C110" s="7">
        <v>0.58043800000000001</v>
      </c>
      <c r="D110" s="7"/>
      <c r="E110" s="7">
        <v>8.7073479999999996</v>
      </c>
      <c r="F110" s="7">
        <v>0.52812999999999999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2">
      <c r="A111" s="7" t="s">
        <v>18</v>
      </c>
      <c r="B111" s="7">
        <v>211.338086</v>
      </c>
      <c r="C111" s="7">
        <v>17.374327000000001</v>
      </c>
      <c r="D111" s="7"/>
      <c r="E111" s="7">
        <v>208.186678</v>
      </c>
      <c r="F111" s="7">
        <v>18.149553000000001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2">
      <c r="A112" s="7" t="s">
        <v>20</v>
      </c>
      <c r="B112" s="7">
        <v>315.83982600000002</v>
      </c>
      <c r="C112" s="7">
        <v>25.694735999999999</v>
      </c>
      <c r="D112" s="7"/>
      <c r="E112" s="7">
        <v>311.36878999999999</v>
      </c>
      <c r="F112" s="7">
        <v>22.988439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2">
      <c r="A113" s="7" t="s">
        <v>21</v>
      </c>
      <c r="B113" s="7">
        <v>30.967804999999998</v>
      </c>
      <c r="C113" s="7">
        <v>9.4918770000000006</v>
      </c>
      <c r="D113" s="7"/>
      <c r="E113" s="7">
        <v>28.604565999999998</v>
      </c>
      <c r="F113" s="7">
        <v>7.8486739999999999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2">
      <c r="A114" s="7" t="s">
        <v>22</v>
      </c>
      <c r="B114" s="7">
        <v>8.3467199999999995</v>
      </c>
      <c r="C114" s="7">
        <v>5.8737680000000001</v>
      </c>
      <c r="D114" s="7"/>
      <c r="E114" s="7">
        <v>7.0017719999999999</v>
      </c>
      <c r="F114" s="7">
        <v>4.988003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2">
      <c r="A115" s="7" t="s">
        <v>86</v>
      </c>
      <c r="B115" s="7">
        <v>0.91251199999999999</v>
      </c>
      <c r="C115" s="7">
        <v>1.249609</v>
      </c>
      <c r="D115" s="7"/>
      <c r="E115" s="7">
        <v>1.2668429999999999</v>
      </c>
      <c r="F115" s="7">
        <v>1.3106040000000001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2">
      <c r="A116" s="7" t="s">
        <v>23</v>
      </c>
      <c r="B116" s="7">
        <v>193.57424499999999</v>
      </c>
      <c r="C116" s="7">
        <v>130.37465700000001</v>
      </c>
      <c r="D116" s="7"/>
      <c r="E116" s="7">
        <v>174.036113</v>
      </c>
      <c r="F116" s="7">
        <v>137.356549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2">
      <c r="A117" s="7" t="s">
        <v>25</v>
      </c>
      <c r="B117" s="7">
        <v>1.365963</v>
      </c>
      <c r="C117" s="7">
        <v>0.444768</v>
      </c>
      <c r="D117" s="7"/>
      <c r="E117" s="7">
        <v>1.0929850000000001</v>
      </c>
      <c r="F117" s="7">
        <v>0.563303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 t="s">
        <v>135</v>
      </c>
      <c r="L119" s="7"/>
      <c r="M119" s="7"/>
      <c r="N119" s="7" t="s">
        <v>136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66" t="s">
        <v>118</v>
      </c>
      <c r="L120" s="66" t="s">
        <v>118</v>
      </c>
      <c r="M120" s="66" t="s">
        <v>118</v>
      </c>
      <c r="N120" s="66" t="s">
        <v>118</v>
      </c>
      <c r="O120" s="66" t="s">
        <v>118</v>
      </c>
      <c r="P120" s="66" t="s">
        <v>118</v>
      </c>
      <c r="Q120" s="66"/>
      <c r="R120" s="66" t="s">
        <v>119</v>
      </c>
      <c r="S120" s="66" t="s">
        <v>119</v>
      </c>
      <c r="T120" s="66" t="s">
        <v>119</v>
      </c>
      <c r="U120" s="66" t="s">
        <v>119</v>
      </c>
      <c r="V120" s="66" t="s">
        <v>119</v>
      </c>
      <c r="W120" s="66" t="s">
        <v>119</v>
      </c>
      <c r="X120" s="7"/>
      <c r="Y120" s="7"/>
      <c r="Z120" s="7"/>
    </row>
    <row r="121" spans="1:26" ht="15.75" customHeight="1" x14ac:dyDescent="0.2">
      <c r="A121" s="7" t="s">
        <v>137</v>
      </c>
      <c r="B121" s="7"/>
      <c r="C121" s="7"/>
      <c r="D121" s="7"/>
      <c r="E121" s="7"/>
      <c r="F121" s="7"/>
      <c r="G121" s="7" t="s">
        <v>117</v>
      </c>
      <c r="H121" s="7"/>
      <c r="I121" s="7"/>
      <c r="J121" s="7"/>
      <c r="K121" s="66" t="s">
        <v>123</v>
      </c>
      <c r="L121" s="66" t="s">
        <v>123</v>
      </c>
      <c r="M121" s="66" t="s">
        <v>122</v>
      </c>
      <c r="N121" s="66" t="s">
        <v>122</v>
      </c>
      <c r="O121" s="66" t="s">
        <v>122</v>
      </c>
      <c r="P121" s="66" t="s">
        <v>122</v>
      </c>
      <c r="Q121" s="66"/>
      <c r="R121" s="66" t="s">
        <v>123</v>
      </c>
      <c r="S121" s="66" t="s">
        <v>123</v>
      </c>
      <c r="T121" s="66" t="s">
        <v>122</v>
      </c>
      <c r="U121" s="66" t="s">
        <v>122</v>
      </c>
      <c r="V121" s="66" t="s">
        <v>122</v>
      </c>
      <c r="W121" s="66" t="s">
        <v>122</v>
      </c>
      <c r="X121" s="7"/>
      <c r="Y121" s="7"/>
      <c r="Z121" s="7"/>
    </row>
    <row r="122" spans="1:26" ht="15.75" customHeight="1" x14ac:dyDescent="0.2">
      <c r="A122" s="7"/>
      <c r="B122" s="7" t="s">
        <v>116</v>
      </c>
      <c r="C122" s="7" t="s">
        <v>116</v>
      </c>
      <c r="D122" s="7"/>
      <c r="E122" s="7" t="s">
        <v>117</v>
      </c>
      <c r="F122" s="7" t="s">
        <v>94</v>
      </c>
      <c r="G122" s="7" t="s">
        <v>95</v>
      </c>
      <c r="H122" s="7" t="s">
        <v>138</v>
      </c>
      <c r="I122" s="7"/>
      <c r="J122" s="7" t="s">
        <v>139</v>
      </c>
      <c r="K122" s="66" t="s">
        <v>94</v>
      </c>
      <c r="L122" s="66" t="s">
        <v>95</v>
      </c>
      <c r="M122" s="66" t="s">
        <v>25</v>
      </c>
      <c r="N122" s="66" t="s">
        <v>126</v>
      </c>
      <c r="O122" s="66" t="s">
        <v>128</v>
      </c>
      <c r="P122" s="66" t="s">
        <v>129</v>
      </c>
      <c r="Q122" s="66"/>
      <c r="R122" s="66" t="s">
        <v>94</v>
      </c>
      <c r="S122" s="66" t="s">
        <v>95</v>
      </c>
      <c r="T122" s="66" t="s">
        <v>25</v>
      </c>
      <c r="U122" s="66" t="s">
        <v>126</v>
      </c>
      <c r="V122" s="66" t="s">
        <v>128</v>
      </c>
      <c r="W122" s="66" t="s">
        <v>129</v>
      </c>
      <c r="X122" s="7"/>
      <c r="Y122" s="7"/>
      <c r="Z122" s="7"/>
    </row>
    <row r="123" spans="1:26" ht="15.75" customHeight="1" x14ac:dyDescent="0.2">
      <c r="A123" s="7" t="s">
        <v>17</v>
      </c>
      <c r="B123" s="7" t="s">
        <v>118</v>
      </c>
      <c r="C123" s="7" t="s">
        <v>119</v>
      </c>
      <c r="D123" s="7"/>
      <c r="E123" s="7" t="s">
        <v>118</v>
      </c>
      <c r="F123" s="7" t="s">
        <v>119</v>
      </c>
      <c r="G123" s="7" t="s">
        <v>119</v>
      </c>
      <c r="H123" s="7" t="s">
        <v>119</v>
      </c>
      <c r="I123" s="7"/>
      <c r="J123" s="7" t="s">
        <v>140</v>
      </c>
      <c r="K123" s="110">
        <v>-0.108411656</v>
      </c>
      <c r="L123" s="110">
        <v>-0.80726502</v>
      </c>
      <c r="M123" s="110">
        <v>2.9937382000000001</v>
      </c>
      <c r="N123" s="110">
        <v>0.66825699999999999</v>
      </c>
      <c r="O123" s="110">
        <v>2.0419170000000002</v>
      </c>
      <c r="P123" s="110">
        <v>1.041177</v>
      </c>
      <c r="Q123" s="7"/>
      <c r="R123" s="110">
        <v>-0.68263669999999999</v>
      </c>
      <c r="S123" s="110">
        <v>-1.1555500000000001</v>
      </c>
      <c r="T123" s="110">
        <v>2.0148609999999998</v>
      </c>
      <c r="U123" s="110">
        <v>-0.12765000000000001</v>
      </c>
      <c r="V123" s="110">
        <v>0.56906999999999996</v>
      </c>
      <c r="W123" s="110">
        <v>-0.50722</v>
      </c>
      <c r="X123" s="7"/>
      <c r="Y123" s="7"/>
      <c r="Z123" s="7"/>
    </row>
    <row r="124" spans="1:26" ht="15.75" customHeight="1" x14ac:dyDescent="0.2">
      <c r="A124" s="7" t="s">
        <v>81</v>
      </c>
      <c r="B124" s="7">
        <v>-2.8451255775811002</v>
      </c>
      <c r="C124" s="7">
        <v>-3.2328176774658002</v>
      </c>
      <c r="D124" s="7"/>
      <c r="E124" s="7">
        <v>-2.8451255775811002</v>
      </c>
      <c r="F124" s="7">
        <v>-3.2328176774658002</v>
      </c>
      <c r="G124" s="7">
        <v>-3.2328176774657749</v>
      </c>
      <c r="H124" s="7">
        <v>-3.2328176774657749</v>
      </c>
      <c r="I124" s="7"/>
      <c r="J124" s="7" t="s">
        <v>81</v>
      </c>
      <c r="K124" s="110">
        <v>0</v>
      </c>
      <c r="L124" s="110">
        <v>0</v>
      </c>
      <c r="M124" s="110">
        <v>0</v>
      </c>
      <c r="N124" s="110">
        <v>0</v>
      </c>
      <c r="O124" s="110">
        <v>0</v>
      </c>
      <c r="P124" s="110">
        <v>0</v>
      </c>
      <c r="Q124" s="110"/>
      <c r="R124" s="110">
        <v>0</v>
      </c>
      <c r="S124" s="110">
        <v>0</v>
      </c>
      <c r="T124" s="110">
        <v>0</v>
      </c>
      <c r="U124" s="110">
        <v>0</v>
      </c>
      <c r="V124" s="110">
        <v>0</v>
      </c>
      <c r="W124" s="110">
        <v>0</v>
      </c>
      <c r="X124" s="7"/>
      <c r="Y124" s="7"/>
      <c r="Z124" s="7"/>
    </row>
    <row r="125" spans="1:26" ht="15.75" customHeight="1" x14ac:dyDescent="0.2">
      <c r="A125" s="7" t="s">
        <v>18</v>
      </c>
      <c r="B125" s="7">
        <f t="shared" ref="B125:B131" si="6">(B98-B111)/C111</f>
        <v>-7.7015126974414844E-2</v>
      </c>
      <c r="C125" s="7">
        <f t="shared" ref="C125:C131" si="7">(B98-E111)/F111</f>
        <v>9.9910008802971587E-2</v>
      </c>
      <c r="D125" s="7"/>
      <c r="E125" s="7">
        <f t="shared" ref="E125:E131" si="8">(C98-B111)/C111</f>
        <v>-7.5593193336351963</v>
      </c>
      <c r="F125" s="7">
        <f t="shared" ref="F125:F126" si="9">(C98-E111)/F111</f>
        <v>-7.0628008304116356</v>
      </c>
      <c r="G125" s="7">
        <f t="shared" ref="G125:G128" si="10">(A162-E111)/F111</f>
        <v>-1.4813961533928681</v>
      </c>
      <c r="H125" s="7">
        <f t="shared" ref="H125:H126" si="11">(C98-E111)/F111</f>
        <v>-7.0628008304116356</v>
      </c>
      <c r="I125" s="7"/>
      <c r="J125" s="7" t="s">
        <v>18</v>
      </c>
      <c r="K125" s="110">
        <v>-1.1613780000000001E-2</v>
      </c>
      <c r="L125" s="110">
        <v>5.6534359999999999E-2</v>
      </c>
      <c r="M125" s="110">
        <v>0</v>
      </c>
      <c r="N125" s="110">
        <v>0</v>
      </c>
      <c r="O125" s="110">
        <v>0</v>
      </c>
      <c r="P125" s="110">
        <v>0</v>
      </c>
      <c r="Q125" s="110"/>
      <c r="R125" s="110">
        <v>1.95233E-3</v>
      </c>
      <c r="S125" s="110">
        <v>7.6436841000000005E-2</v>
      </c>
      <c r="T125" s="110">
        <v>5.2415999999999997E-2</v>
      </c>
      <c r="U125" s="110">
        <v>5.8140999999999998E-2</v>
      </c>
      <c r="V125" s="110">
        <v>0</v>
      </c>
      <c r="W125" s="110">
        <v>8.1309999999999993E-2</v>
      </c>
      <c r="X125" s="7"/>
      <c r="Y125" s="7"/>
      <c r="Z125" s="7"/>
    </row>
    <row r="126" spans="1:26" ht="15.75" customHeight="1" x14ac:dyDescent="0.2">
      <c r="A126" s="7" t="s">
        <v>20</v>
      </c>
      <c r="B126" s="7">
        <f t="shared" si="6"/>
        <v>-0.61646190877384444</v>
      </c>
      <c r="C126" s="7">
        <f t="shared" si="7"/>
        <v>-0.49454380090792549</v>
      </c>
      <c r="D126" s="7"/>
      <c r="E126" s="7">
        <f t="shared" si="8"/>
        <v>-12.330923579055259</v>
      </c>
      <c r="F126" s="7">
        <f t="shared" si="9"/>
        <v>-13.588081817995558</v>
      </c>
      <c r="G126" s="7">
        <f t="shared" si="10"/>
        <v>-0.15977883491784745</v>
      </c>
      <c r="H126" s="7">
        <f t="shared" si="11"/>
        <v>-13.588081817995558</v>
      </c>
      <c r="I126" s="7"/>
      <c r="J126" s="7" t="s">
        <v>20</v>
      </c>
      <c r="K126" s="110">
        <v>3.41764E-3</v>
      </c>
      <c r="L126" s="110">
        <v>1.7858354999999999E-2</v>
      </c>
      <c r="M126" s="110">
        <v>0</v>
      </c>
      <c r="N126" s="110">
        <v>0.16520599999999999</v>
      </c>
      <c r="O126" s="110">
        <v>0</v>
      </c>
      <c r="P126" s="110">
        <v>0</v>
      </c>
      <c r="Q126" s="110"/>
      <c r="R126" s="110">
        <v>-8.20391E-3</v>
      </c>
      <c r="S126" s="110">
        <v>3.8947849E-2</v>
      </c>
      <c r="T126" s="110">
        <v>0</v>
      </c>
      <c r="U126" s="110">
        <v>8.9543999999999999E-2</v>
      </c>
      <c r="V126" s="110">
        <v>8.1895999999999997E-2</v>
      </c>
      <c r="W126" s="110">
        <v>7.0102999999999999E-2</v>
      </c>
      <c r="X126" s="7"/>
      <c r="Y126" s="7"/>
      <c r="Z126" s="7"/>
    </row>
    <row r="127" spans="1:26" ht="15.75" customHeight="1" x14ac:dyDescent="0.2">
      <c r="A127" s="7" t="s">
        <v>21</v>
      </c>
      <c r="B127" s="7">
        <f t="shared" si="6"/>
        <v>-0.62872759518480892</v>
      </c>
      <c r="C127" s="7">
        <f t="shared" si="7"/>
        <v>-0.45925795873290171</v>
      </c>
      <c r="D127" s="7"/>
      <c r="E127" s="7">
        <f t="shared" si="8"/>
        <v>-3.2520232826447284</v>
      </c>
      <c r="F127" s="7">
        <f t="shared" ref="F127:F131" si="12">(A164-E113)/F113</f>
        <v>-3.6317683725938927</v>
      </c>
      <c r="G127" s="7">
        <f t="shared" si="10"/>
        <v>-3.6317683725938927</v>
      </c>
      <c r="H127" s="7">
        <f t="shared" ref="H127:H128" si="13">(A164-E113)/F113</f>
        <v>-3.6317683725938927</v>
      </c>
      <c r="I127" s="7"/>
      <c r="J127" s="7" t="s">
        <v>21</v>
      </c>
      <c r="K127" s="110">
        <v>5.4282909999999997E-2</v>
      </c>
      <c r="L127" s="110">
        <v>-3.8446849999999998E-2</v>
      </c>
      <c r="M127" s="110">
        <v>0.15247520000000001</v>
      </c>
      <c r="N127" s="110">
        <v>0</v>
      </c>
      <c r="O127" s="110">
        <v>-9.7540000000000002E-2</v>
      </c>
      <c r="P127" s="110">
        <v>-0.10224</v>
      </c>
      <c r="Q127" s="110"/>
      <c r="R127" s="110">
        <v>4.1543040000000002E-3</v>
      </c>
      <c r="S127" s="110">
        <v>1.368326E-3</v>
      </c>
      <c r="T127" s="110">
        <v>0.169401</v>
      </c>
      <c r="U127" s="110">
        <v>-4.8619999999999997E-2</v>
      </c>
      <c r="V127" s="110">
        <v>-7.2480000000000003E-2</v>
      </c>
      <c r="W127" s="110">
        <v>-6.6309999999999994E-2</v>
      </c>
      <c r="X127" s="7"/>
      <c r="Y127" s="7"/>
      <c r="Z127" s="7"/>
    </row>
    <row r="128" spans="1:26" ht="15.75" customHeight="1" x14ac:dyDescent="0.2">
      <c r="A128" s="7" t="s">
        <v>22</v>
      </c>
      <c r="B128" s="7">
        <f t="shared" si="6"/>
        <v>-0.39952548347159772</v>
      </c>
      <c r="C128" s="7">
        <f t="shared" si="7"/>
        <v>-0.2008362865860345</v>
      </c>
      <c r="D128" s="7"/>
      <c r="E128" s="7">
        <f t="shared" si="8"/>
        <v>-1.4210162880113753</v>
      </c>
      <c r="F128" s="7">
        <f t="shared" si="12"/>
        <v>-1.4037224917466971</v>
      </c>
      <c r="G128" s="7">
        <f t="shared" si="10"/>
        <v>-1.4037224917466971</v>
      </c>
      <c r="H128" s="7">
        <f t="shared" si="13"/>
        <v>-1.4037224917466971</v>
      </c>
      <c r="I128" s="7"/>
      <c r="J128" s="7" t="s">
        <v>22</v>
      </c>
      <c r="K128" s="110">
        <v>2.292342E-2</v>
      </c>
      <c r="L128" s="110">
        <v>-2.1005159999999998E-2</v>
      </c>
      <c r="M128" s="110">
        <v>0</v>
      </c>
      <c r="N128" s="110">
        <v>0.15070700000000001</v>
      </c>
      <c r="O128" s="110">
        <v>0</v>
      </c>
      <c r="P128" s="110">
        <v>0</v>
      </c>
      <c r="Q128" s="110"/>
      <c r="R128" s="110">
        <v>2.5949698E-2</v>
      </c>
      <c r="S128" s="110">
        <v>-6.8736999999999999E-3</v>
      </c>
      <c r="T128" s="110">
        <v>2.1579999999999998E-2</v>
      </c>
      <c r="U128" s="110">
        <v>0.135542</v>
      </c>
      <c r="V128" s="110">
        <v>0</v>
      </c>
      <c r="W128" s="110">
        <v>0</v>
      </c>
      <c r="X128" s="7"/>
      <c r="Y128" s="7"/>
      <c r="Z128" s="7"/>
    </row>
    <row r="129" spans="1:26" ht="15.75" customHeight="1" x14ac:dyDescent="0.2">
      <c r="A129" s="7" t="s">
        <v>86</v>
      </c>
      <c r="B129" s="7">
        <f t="shared" si="6"/>
        <v>0.87026261814695638</v>
      </c>
      <c r="C129" s="7">
        <f t="shared" si="7"/>
        <v>0.55940390842695431</v>
      </c>
      <c r="D129" s="7"/>
      <c r="E129" s="7">
        <f t="shared" si="8"/>
        <v>0.87026261814695638</v>
      </c>
      <c r="F129" s="7">
        <f t="shared" si="12"/>
        <v>0.55940390842695431</v>
      </c>
      <c r="G129" s="7">
        <f>(C102-E115)/F115</f>
        <v>0.55940390842695431</v>
      </c>
      <c r="H129" s="7">
        <f>(C102-E115)/F115</f>
        <v>0.55940390842695431</v>
      </c>
      <c r="I129" s="7"/>
      <c r="J129" s="7" t="s">
        <v>86</v>
      </c>
      <c r="K129" s="110">
        <v>1.4395079999999999E-2</v>
      </c>
      <c r="L129" s="110">
        <v>-2.7356559999999999E-2</v>
      </c>
      <c r="M129" s="110">
        <v>-3.4762000000000001E-2</v>
      </c>
      <c r="N129" s="110">
        <v>0</v>
      </c>
      <c r="O129" s="110">
        <v>0.15329100000000001</v>
      </c>
      <c r="P129" s="110">
        <v>0</v>
      </c>
      <c r="Q129" s="110"/>
      <c r="R129" s="110">
        <v>-8.9918789999999995E-3</v>
      </c>
      <c r="S129" s="110">
        <v>-1.035001E-2</v>
      </c>
      <c r="T129" s="110">
        <v>2.2391999999999999E-2</v>
      </c>
      <c r="U129" s="110">
        <v>0</v>
      </c>
      <c r="V129" s="110">
        <v>7.3394000000000001E-2</v>
      </c>
      <c r="W129" s="110">
        <v>8.4501000000000007E-2</v>
      </c>
      <c r="X129" s="7"/>
      <c r="Y129" s="7"/>
      <c r="Z129" s="7"/>
    </row>
    <row r="130" spans="1:26" ht="15.75" customHeight="1" x14ac:dyDescent="0.2">
      <c r="A130" s="7" t="s">
        <v>23</v>
      </c>
      <c r="B130" s="7">
        <f t="shared" si="6"/>
        <v>-1.1779455343073306</v>
      </c>
      <c r="C130" s="7">
        <f t="shared" si="7"/>
        <v>-0.97582615445587528</v>
      </c>
      <c r="D130" s="7"/>
      <c r="E130" s="7">
        <f t="shared" si="8"/>
        <v>-1.4770834258072101</v>
      </c>
      <c r="F130" s="7">
        <f t="shared" si="12"/>
        <v>-1.2597587392793335</v>
      </c>
      <c r="G130" s="7">
        <f t="shared" ref="G130:G131" si="14">(A167-E116)/F116</f>
        <v>-1.2597587392793335</v>
      </c>
      <c r="H130" s="7">
        <f t="shared" ref="H130:H131" si="15">(A167-E116)/F116</f>
        <v>-1.2597587392793335</v>
      </c>
      <c r="I130" s="7"/>
      <c r="J130" s="7" t="s">
        <v>23</v>
      </c>
      <c r="K130" s="110">
        <v>1.785987E-2</v>
      </c>
      <c r="L130" s="110">
        <v>1.9335750000000001E-3</v>
      </c>
      <c r="M130" s="110">
        <v>7.2314100000000006E-2</v>
      </c>
      <c r="N130" s="110">
        <v>0</v>
      </c>
      <c r="O130" s="110">
        <v>-0.18010999999999999</v>
      </c>
      <c r="P130" s="110">
        <v>0</v>
      </c>
      <c r="Q130" s="110"/>
      <c r="R130" s="110">
        <v>5.0086115E-2</v>
      </c>
      <c r="S130" s="110">
        <v>0.11690368199999999</v>
      </c>
      <c r="T130" s="110">
        <v>0.140432</v>
      </c>
      <c r="U130" s="110">
        <v>6.0077999999999999E-2</v>
      </c>
      <c r="V130" s="110">
        <v>-4.4720000000000003E-2</v>
      </c>
      <c r="W130" s="110">
        <v>0</v>
      </c>
      <c r="X130" s="7"/>
      <c r="Y130" s="7"/>
      <c r="Z130" s="7"/>
    </row>
    <row r="131" spans="1:26" ht="15.75" customHeight="1" x14ac:dyDescent="0.2">
      <c r="A131" s="7" t="s">
        <v>25</v>
      </c>
      <c r="B131" s="7">
        <f t="shared" si="6"/>
        <v>-0.82281773868623653</v>
      </c>
      <c r="C131" s="7">
        <f t="shared" si="7"/>
        <v>-0.16507101861697895</v>
      </c>
      <c r="D131" s="7"/>
      <c r="E131" s="7">
        <f t="shared" si="8"/>
        <v>-3.0711809302827544</v>
      </c>
      <c r="F131" s="7">
        <f t="shared" si="12"/>
        <v>-1.9403145376467019</v>
      </c>
      <c r="G131" s="7">
        <f t="shared" si="14"/>
        <v>-1.9403145376467019</v>
      </c>
      <c r="H131" s="7">
        <f t="shared" si="15"/>
        <v>-1.9403145376467019</v>
      </c>
      <c r="I131" s="7"/>
      <c r="J131" s="7" t="s">
        <v>25</v>
      </c>
      <c r="K131" s="110">
        <v>0</v>
      </c>
      <c r="L131" s="110">
        <v>0</v>
      </c>
      <c r="M131" s="110">
        <v>0.12359489999999999</v>
      </c>
      <c r="N131" s="110">
        <v>0</v>
      </c>
      <c r="O131" s="110">
        <v>0</v>
      </c>
      <c r="P131" s="110">
        <v>0</v>
      </c>
      <c r="Q131" s="110"/>
      <c r="R131" s="110">
        <v>0</v>
      </c>
      <c r="S131" s="110">
        <v>0</v>
      </c>
      <c r="T131" s="110">
        <v>0.145341</v>
      </c>
      <c r="U131" s="110">
        <v>0</v>
      </c>
      <c r="V131" s="110">
        <v>0</v>
      </c>
      <c r="W131" s="110">
        <v>0</v>
      </c>
      <c r="X131" s="7"/>
      <c r="Y131" s="7"/>
      <c r="Z131" s="7"/>
    </row>
    <row r="132" spans="1:26" ht="15.75" customHeight="1" x14ac:dyDescent="0.2">
      <c r="A132" s="7" t="s">
        <v>141</v>
      </c>
      <c r="B132" s="7">
        <f t="shared" ref="B132:C132" si="16">(B124*B124)</f>
        <v>8.0947395522061889</v>
      </c>
      <c r="C132" s="7">
        <f t="shared" si="16"/>
        <v>10.451110135735371</v>
      </c>
      <c r="D132" s="7"/>
      <c r="E132" s="7">
        <f t="shared" ref="E132:H132" si="17">(E124*E124)</f>
        <v>8.0947395522061889</v>
      </c>
      <c r="F132" s="7">
        <f t="shared" si="17"/>
        <v>10.451110135735371</v>
      </c>
      <c r="G132" s="7">
        <f t="shared" si="17"/>
        <v>10.451110135735206</v>
      </c>
      <c r="H132" s="7">
        <f t="shared" si="17"/>
        <v>10.451110135735206</v>
      </c>
      <c r="I132" s="7"/>
      <c r="J132" s="7" t="s">
        <v>141</v>
      </c>
      <c r="K132" s="110">
        <v>0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/>
      <c r="R132" s="110">
        <v>0</v>
      </c>
      <c r="S132" s="110">
        <v>0</v>
      </c>
      <c r="T132" s="110">
        <v>0</v>
      </c>
      <c r="U132" s="110">
        <v>0</v>
      </c>
      <c r="V132" s="110">
        <v>0</v>
      </c>
      <c r="W132" s="110">
        <v>0</v>
      </c>
      <c r="X132" s="7"/>
      <c r="Y132" s="7"/>
      <c r="Z132" s="7"/>
    </row>
    <row r="133" spans="1:26" ht="15.75" customHeight="1" x14ac:dyDescent="0.2">
      <c r="A133" s="7" t="s">
        <v>142</v>
      </c>
      <c r="B133" s="7">
        <f t="shared" ref="B133:C133" si="18">(B124*B125)</f>
        <v>0.21911770761556379</v>
      </c>
      <c r="C133" s="7">
        <f t="shared" si="18"/>
        <v>-0.32299084261401023</v>
      </c>
      <c r="D133" s="7"/>
      <c r="E133" s="7">
        <f t="shared" ref="E133:H133" si="19">(E124*E125)</f>
        <v>21.507212785228816</v>
      </c>
      <c r="F133" s="7">
        <f t="shared" si="19"/>
        <v>22.832747376974869</v>
      </c>
      <c r="G133" s="7">
        <f t="shared" si="19"/>
        <v>4.7890836720182648</v>
      </c>
      <c r="H133" s="7">
        <f t="shared" si="19"/>
        <v>22.832747376974691</v>
      </c>
      <c r="I133" s="7"/>
      <c r="J133" s="7" t="s">
        <v>142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0</v>
      </c>
      <c r="Q133" s="110"/>
      <c r="R133" s="110">
        <v>0</v>
      </c>
      <c r="S133" s="110">
        <v>0</v>
      </c>
      <c r="T133" s="110">
        <v>0</v>
      </c>
      <c r="U133" s="110">
        <v>0</v>
      </c>
      <c r="V133" s="110">
        <v>0</v>
      </c>
      <c r="W133" s="110">
        <v>0</v>
      </c>
      <c r="X133" s="7"/>
      <c r="Y133" s="7"/>
      <c r="Z133" s="7"/>
    </row>
    <row r="134" spans="1:26" ht="15.75" customHeight="1" x14ac:dyDescent="0.2">
      <c r="A134" s="7" t="s">
        <v>143</v>
      </c>
      <c r="B134" s="7">
        <f t="shared" ref="B134:C134" si="20">(B124*B129)</f>
        <v>-2.4760064341025996</v>
      </c>
      <c r="C134" s="7">
        <f t="shared" si="20"/>
        <v>-1.8084508440061176</v>
      </c>
      <c r="D134" s="7"/>
      <c r="E134" s="7">
        <f t="shared" ref="E134:H134" si="21">(E124*E129)</f>
        <v>-2.4760064341025996</v>
      </c>
      <c r="F134" s="7">
        <f t="shared" si="21"/>
        <v>-1.8084508440061176</v>
      </c>
      <c r="G134" s="7">
        <f t="shared" si="21"/>
        <v>-1.8084508440061033</v>
      </c>
      <c r="H134" s="7">
        <f t="shared" si="21"/>
        <v>-1.8084508440061033</v>
      </c>
      <c r="I134" s="7"/>
      <c r="J134" s="7" t="s">
        <v>143</v>
      </c>
      <c r="K134" s="110">
        <v>0</v>
      </c>
      <c r="L134" s="110">
        <v>0</v>
      </c>
      <c r="M134" s="110">
        <v>0</v>
      </c>
      <c r="N134" s="110">
        <v>0</v>
      </c>
      <c r="O134" s="110">
        <v>0</v>
      </c>
      <c r="P134" s="110">
        <v>0</v>
      </c>
      <c r="Q134" s="110"/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7"/>
      <c r="Y134" s="7"/>
      <c r="Z134" s="7"/>
    </row>
    <row r="135" spans="1:26" ht="15.75" customHeight="1" x14ac:dyDescent="0.2">
      <c r="A135" s="7" t="s">
        <v>144</v>
      </c>
      <c r="B135" s="7">
        <f t="shared" ref="B135:C135" si="22">(B125*B125)</f>
        <v>5.931329782885241E-3</v>
      </c>
      <c r="C135" s="7">
        <f t="shared" si="22"/>
        <v>9.9820098590098598E-3</v>
      </c>
      <c r="D135" s="7"/>
      <c r="E135" s="7">
        <f t="shared" ref="E135:H135" si="23">(E125*E125)</f>
        <v>57.143308787870865</v>
      </c>
      <c r="F135" s="7">
        <f t="shared" si="23"/>
        <v>49.883155570063288</v>
      </c>
      <c r="G135" s="7">
        <f t="shared" si="23"/>
        <v>2.1945345632871862</v>
      </c>
      <c r="H135" s="7">
        <f t="shared" si="23"/>
        <v>49.883155570063288</v>
      </c>
      <c r="I135" s="7"/>
      <c r="J135" s="7" t="s">
        <v>144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/>
      <c r="R135" s="110">
        <v>0</v>
      </c>
      <c r="S135" s="110">
        <v>2.5807976999999999E-2</v>
      </c>
      <c r="T135" s="110">
        <v>0</v>
      </c>
      <c r="U135" s="110">
        <v>0</v>
      </c>
      <c r="V135" s="110">
        <v>0</v>
      </c>
      <c r="W135" s="110">
        <v>0</v>
      </c>
      <c r="X135" s="7"/>
      <c r="Y135" s="7"/>
      <c r="Z135" s="7"/>
    </row>
    <row r="136" spans="1:26" ht="15.75" customHeight="1" x14ac:dyDescent="0.2">
      <c r="A136" s="7" t="s">
        <v>145</v>
      </c>
      <c r="B136" s="7">
        <f t="shared" ref="B136:C136" si="24">(B125*B126)</f>
        <v>4.747689217910777E-2</v>
      </c>
      <c r="C136" s="7">
        <f t="shared" si="24"/>
        <v>-4.9409875502165863E-2</v>
      </c>
      <c r="D136" s="7"/>
      <c r="E136" s="7">
        <f t="shared" ref="E136:H136" si="25">(E125*E126)</f>
        <v>93.213389012730531</v>
      </c>
      <c r="F136" s="7">
        <f t="shared" si="25"/>
        <v>95.969915547840273</v>
      </c>
      <c r="G136" s="7">
        <f t="shared" si="25"/>
        <v>0.23669575144089328</v>
      </c>
      <c r="H136" s="7">
        <f t="shared" si="25"/>
        <v>95.969915547840273</v>
      </c>
      <c r="I136" s="7"/>
      <c r="J136" s="7" t="s">
        <v>145</v>
      </c>
      <c r="K136" s="110">
        <v>8.5768200000000006E-3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110"/>
      <c r="R136" s="110">
        <v>0</v>
      </c>
      <c r="S136" s="110">
        <v>0</v>
      </c>
      <c r="T136" s="110">
        <v>0</v>
      </c>
      <c r="U136" s="110">
        <v>0</v>
      </c>
      <c r="V136" s="110">
        <v>0</v>
      </c>
      <c r="W136" s="110">
        <v>0</v>
      </c>
      <c r="X136" s="7"/>
      <c r="Y136" s="7"/>
      <c r="Z136" s="7"/>
    </row>
    <row r="137" spans="1:26" ht="15.75" customHeight="1" x14ac:dyDescent="0.2">
      <c r="A137" s="7" t="s">
        <v>146</v>
      </c>
      <c r="B137" s="7">
        <f t="shared" ref="B137:C137" si="26">(B125*B129)</f>
        <v>-6.7023386037674548E-2</v>
      </c>
      <c r="C137" s="7">
        <f t="shared" si="26"/>
        <v>5.5890049415353714E-2</v>
      </c>
      <c r="D137" s="7"/>
      <c r="E137" s="7">
        <f t="shared" ref="E137:H137" si="27">(E125*E129)</f>
        <v>-6.5785930346982715</v>
      </c>
      <c r="F137" s="7">
        <f t="shared" si="27"/>
        <v>-3.9509583889734077</v>
      </c>
      <c r="G137" s="7">
        <f t="shared" si="27"/>
        <v>-0.82869879813662639</v>
      </c>
      <c r="H137" s="7">
        <f t="shared" si="27"/>
        <v>-3.9509583889734077</v>
      </c>
      <c r="I137" s="7"/>
      <c r="J137" s="7" t="s">
        <v>146</v>
      </c>
      <c r="K137" s="110">
        <v>0</v>
      </c>
      <c r="L137" s="110">
        <v>0</v>
      </c>
      <c r="M137" s="110">
        <v>0</v>
      </c>
      <c r="N137" s="110">
        <v>0</v>
      </c>
      <c r="O137" s="110">
        <v>0</v>
      </c>
      <c r="P137" s="110">
        <v>0</v>
      </c>
      <c r="Q137" s="110"/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7"/>
      <c r="Y137" s="7"/>
      <c r="Z137" s="7"/>
    </row>
    <row r="138" spans="1:26" ht="15.75" customHeight="1" x14ac:dyDescent="0.2">
      <c r="A138" s="7" t="s">
        <v>147</v>
      </c>
      <c r="B138" s="7">
        <f t="shared" ref="B138:C138" si="28">(B126*B126)</f>
        <v>0.38002528496909171</v>
      </c>
      <c r="C138" s="7">
        <f t="shared" si="28"/>
        <v>0.24457357101645785</v>
      </c>
      <c r="D138" s="7"/>
      <c r="E138" s="7">
        <f t="shared" ref="E138:H138" si="29">(E126*E126)</f>
        <v>152.05167631250097</v>
      </c>
      <c r="F138" s="7">
        <f t="shared" si="29"/>
        <v>184.63596749254148</v>
      </c>
      <c r="G138" s="7">
        <f t="shared" si="29"/>
        <v>2.5529276087704746E-2</v>
      </c>
      <c r="H138" s="7">
        <f t="shared" si="29"/>
        <v>184.63596749254148</v>
      </c>
      <c r="I138" s="7"/>
      <c r="J138" s="7" t="s">
        <v>147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/>
      <c r="R138" s="110">
        <v>0</v>
      </c>
      <c r="S138" s="110">
        <v>1.8209586E-2</v>
      </c>
      <c r="T138" s="110">
        <v>0</v>
      </c>
      <c r="U138" s="110">
        <v>0</v>
      </c>
      <c r="V138" s="110">
        <v>0</v>
      </c>
      <c r="W138" s="110">
        <v>0</v>
      </c>
      <c r="X138" s="7"/>
      <c r="Y138" s="7"/>
      <c r="Z138" s="7"/>
    </row>
    <row r="139" spans="1:26" ht="15.75" customHeight="1" x14ac:dyDescent="0.2">
      <c r="A139" s="7" t="s">
        <v>148</v>
      </c>
      <c r="B139" s="7">
        <f t="shared" ref="B139:C139" si="30">(B126*B129)</f>
        <v>-0.53648375471739607</v>
      </c>
      <c r="C139" s="7">
        <f t="shared" si="30"/>
        <v>-0.2766497351162151</v>
      </c>
      <c r="D139" s="7"/>
      <c r="E139" s="7">
        <f t="shared" ref="E139:H139" si="31">(E126*E129)</f>
        <v>-10.731141838078667</v>
      </c>
      <c r="F139" s="7">
        <f t="shared" si="31"/>
        <v>-7.6012260770119502</v>
      </c>
      <c r="G139" s="7">
        <f t="shared" si="31"/>
        <v>-8.9380904736948985E-2</v>
      </c>
      <c r="H139" s="7">
        <f t="shared" si="31"/>
        <v>-7.6012260770119502</v>
      </c>
      <c r="I139" s="7"/>
      <c r="J139" s="7" t="s">
        <v>148</v>
      </c>
      <c r="K139" s="110">
        <v>0</v>
      </c>
      <c r="L139" s="110">
        <v>0</v>
      </c>
      <c r="M139" s="110">
        <v>0</v>
      </c>
      <c r="N139" s="110">
        <v>0</v>
      </c>
      <c r="O139" s="110">
        <v>0</v>
      </c>
      <c r="P139" s="110">
        <v>0</v>
      </c>
      <c r="Q139" s="110"/>
      <c r="R139" s="110">
        <v>0</v>
      </c>
      <c r="S139" s="110">
        <v>1.5107193E-2</v>
      </c>
      <c r="T139" s="110">
        <v>0</v>
      </c>
      <c r="U139" s="110">
        <v>0</v>
      </c>
      <c r="V139" s="110">
        <v>0</v>
      </c>
      <c r="W139" s="110">
        <v>0</v>
      </c>
      <c r="X139" s="7"/>
      <c r="Y139" s="7"/>
      <c r="Z139" s="7"/>
    </row>
    <row r="140" spans="1:26" ht="15.75" customHeight="1" x14ac:dyDescent="0.2">
      <c r="A140" s="7" t="s">
        <v>149</v>
      </c>
      <c r="B140" s="7">
        <f t="shared" ref="B140:C140" si="32">(B126*B130)</f>
        <v>0.72615855251072314</v>
      </c>
      <c r="C140" s="7">
        <f t="shared" si="32"/>
        <v>0.48258877544997292</v>
      </c>
      <c r="D140" s="7"/>
      <c r="E140" s="7">
        <f t="shared" ref="E140:H140" si="33">(E126*E130)</f>
        <v>18.213802843517847</v>
      </c>
      <c r="F140" s="7">
        <f t="shared" si="33"/>
        <v>17.117704820262517</v>
      </c>
      <c r="G140" s="7">
        <f t="shared" si="33"/>
        <v>0.20128278363962823</v>
      </c>
      <c r="H140" s="7">
        <f t="shared" si="33"/>
        <v>17.117704820262517</v>
      </c>
      <c r="I140" s="7"/>
      <c r="J140" s="7" t="s">
        <v>149</v>
      </c>
      <c r="K140" s="110">
        <v>0</v>
      </c>
      <c r="L140" s="110">
        <v>0</v>
      </c>
      <c r="M140" s="110">
        <v>0</v>
      </c>
      <c r="N140" s="110">
        <v>0</v>
      </c>
      <c r="O140" s="110">
        <v>0</v>
      </c>
      <c r="P140" s="110">
        <v>0</v>
      </c>
      <c r="Q140" s="110"/>
      <c r="R140" s="110">
        <v>0</v>
      </c>
      <c r="S140" s="110">
        <v>0</v>
      </c>
      <c r="T140" s="110">
        <v>0</v>
      </c>
      <c r="U140" s="110">
        <v>0</v>
      </c>
      <c r="V140" s="110">
        <v>0</v>
      </c>
      <c r="W140" s="110">
        <v>0</v>
      </c>
      <c r="X140" s="7"/>
      <c r="Y140" s="7"/>
      <c r="Z140" s="7"/>
    </row>
    <row r="141" spans="1:26" ht="15.75" customHeight="1" x14ac:dyDescent="0.2">
      <c r="A141" s="7" t="s">
        <v>150</v>
      </c>
      <c r="B141" s="7">
        <f t="shared" ref="B141:C141" si="34">(B126*B127)</f>
        <v>0.38758661342641626</v>
      </c>
      <c r="C141" s="7">
        <f t="shared" si="34"/>
        <v>0.22712317650898439</v>
      </c>
      <c r="D141" s="7"/>
      <c r="E141" s="7">
        <f t="shared" ref="E141:H141" si="35">(E126*E127)</f>
        <v>40.100450575600568</v>
      </c>
      <c r="F141" s="7">
        <f t="shared" si="35"/>
        <v>49.34876579081439</v>
      </c>
      <c r="G141" s="7">
        <f t="shared" si="35"/>
        <v>0.58027971926453903</v>
      </c>
      <c r="H141" s="7">
        <f t="shared" si="35"/>
        <v>49.34876579081439</v>
      </c>
      <c r="I141" s="7"/>
      <c r="J141" s="7" t="s">
        <v>150</v>
      </c>
      <c r="K141" s="110">
        <v>-9.7818000000000002E-3</v>
      </c>
      <c r="L141" s="110">
        <v>1.8225949000000002E-2</v>
      </c>
      <c r="M141" s="110">
        <v>0</v>
      </c>
      <c r="N141" s="110">
        <v>0</v>
      </c>
      <c r="O141" s="110">
        <v>0</v>
      </c>
      <c r="P141" s="110">
        <v>0</v>
      </c>
      <c r="Q141" s="110"/>
      <c r="R141" s="110">
        <v>0</v>
      </c>
      <c r="S141" s="110">
        <v>1.2076013E-2</v>
      </c>
      <c r="T141" s="110">
        <v>0</v>
      </c>
      <c r="U141" s="110">
        <v>0</v>
      </c>
      <c r="V141" s="110">
        <v>0</v>
      </c>
      <c r="W141" s="110">
        <v>0</v>
      </c>
      <c r="X141" s="7"/>
      <c r="Y141" s="7"/>
      <c r="Z141" s="7"/>
    </row>
    <row r="142" spans="1:26" ht="15.75" customHeight="1" x14ac:dyDescent="0.2">
      <c r="A142" s="7" t="s">
        <v>151</v>
      </c>
      <c r="B142" s="7">
        <f t="shared" ref="B142:C142" si="36">(B127*B127)</f>
        <v>0.39529838894687297</v>
      </c>
      <c r="C142" s="7">
        <f t="shared" si="36"/>
        <v>0.21091787265951165</v>
      </c>
      <c r="D142" s="7"/>
      <c r="E142" s="7">
        <f t="shared" ref="E142:H142" si="37">(E127*E127)</f>
        <v>10.575655430863396</v>
      </c>
      <c r="F142" s="7">
        <f t="shared" si="37"/>
        <v>13.189741512173292</v>
      </c>
      <c r="G142" s="7">
        <f t="shared" si="37"/>
        <v>13.189741512173292</v>
      </c>
      <c r="H142" s="7">
        <f t="shared" si="37"/>
        <v>13.189741512173292</v>
      </c>
      <c r="I142" s="7"/>
      <c r="J142" s="7" t="s">
        <v>151</v>
      </c>
      <c r="K142" s="110">
        <v>0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110"/>
      <c r="R142" s="110">
        <v>0</v>
      </c>
      <c r="S142" s="110">
        <v>-1.197286E-2</v>
      </c>
      <c r="T142" s="110">
        <v>0</v>
      </c>
      <c r="U142" s="110">
        <v>0</v>
      </c>
      <c r="V142" s="110">
        <v>0</v>
      </c>
      <c r="W142" s="110">
        <v>0</v>
      </c>
      <c r="X142" s="7"/>
      <c r="Y142" s="7"/>
      <c r="Z142" s="7"/>
    </row>
    <row r="143" spans="1:26" ht="15.75" customHeight="1" x14ac:dyDescent="0.2">
      <c r="A143" s="7" t="s">
        <v>152</v>
      </c>
      <c r="B143" s="7">
        <f t="shared" ref="B143:C143" si="38">(B127*B128)</f>
        <v>0.25119269643814574</v>
      </c>
      <c r="C143" s="7">
        <f t="shared" si="38"/>
        <v>9.2235663016998259E-2</v>
      </c>
      <c r="D143" s="7"/>
      <c r="E143" s="7">
        <f t="shared" ref="E143:H143" si="39">(E127*E128)</f>
        <v>4.6211780536303797</v>
      </c>
      <c r="F143" s="7">
        <f t="shared" si="39"/>
        <v>5.0979949494243462</v>
      </c>
      <c r="G143" s="7">
        <f t="shared" si="39"/>
        <v>5.0979949494243462</v>
      </c>
      <c r="H143" s="7">
        <f t="shared" si="39"/>
        <v>5.0979949494243462</v>
      </c>
      <c r="I143" s="7"/>
      <c r="J143" s="7" t="s">
        <v>152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  <c r="P143" s="110">
        <v>0</v>
      </c>
      <c r="Q143" s="110"/>
      <c r="R143" s="110">
        <v>0</v>
      </c>
      <c r="S143" s="110">
        <v>0</v>
      </c>
      <c r="T143" s="110">
        <v>0</v>
      </c>
      <c r="U143" s="110">
        <v>0</v>
      </c>
      <c r="V143" s="110">
        <v>0</v>
      </c>
      <c r="W143" s="110">
        <v>0</v>
      </c>
      <c r="X143" s="7"/>
      <c r="Y143" s="7"/>
      <c r="Z143" s="7"/>
    </row>
    <row r="144" spans="1:26" ht="15.75" customHeight="1" x14ac:dyDescent="0.2">
      <c r="A144" s="7" t="s">
        <v>153</v>
      </c>
      <c r="B144" s="7">
        <f t="shared" ref="B144:C144" si="40">(B127*B129)</f>
        <v>-0.54715812308677159</v>
      </c>
      <c r="C144" s="7">
        <f t="shared" si="40"/>
        <v>-0.2569106970913701</v>
      </c>
      <c r="D144" s="7"/>
      <c r="E144" s="7">
        <f t="shared" ref="E144:H144" si="41">(E127*E129)</f>
        <v>-2.8301142962292607</v>
      </c>
      <c r="F144" s="7">
        <f t="shared" si="41"/>
        <v>-2.0316254221304231</v>
      </c>
      <c r="G144" s="7">
        <f t="shared" si="41"/>
        <v>-2.0316254221304231</v>
      </c>
      <c r="H144" s="7">
        <f t="shared" si="41"/>
        <v>-2.0316254221304231</v>
      </c>
      <c r="I144" s="7"/>
      <c r="J144" s="7" t="s">
        <v>153</v>
      </c>
      <c r="K144" s="110">
        <v>0</v>
      </c>
      <c r="L144" s="110">
        <v>0</v>
      </c>
      <c r="M144" s="110">
        <v>0</v>
      </c>
      <c r="N144" s="110">
        <v>0</v>
      </c>
      <c r="O144" s="110">
        <v>0</v>
      </c>
      <c r="P144" s="110">
        <v>0</v>
      </c>
      <c r="Q144" s="110"/>
      <c r="R144" s="110">
        <v>-5.7937900000000001E-3</v>
      </c>
      <c r="S144" s="110">
        <v>0</v>
      </c>
      <c r="T144" s="110">
        <v>0</v>
      </c>
      <c r="U144" s="110">
        <v>0</v>
      </c>
      <c r="V144" s="110">
        <v>0</v>
      </c>
      <c r="W144" s="110">
        <v>0</v>
      </c>
      <c r="X144" s="7"/>
      <c r="Y144" s="7"/>
      <c r="Z144" s="7"/>
    </row>
    <row r="145" spans="1:26" ht="15.75" customHeight="1" x14ac:dyDescent="0.2">
      <c r="A145" s="7" t="s">
        <v>154</v>
      </c>
      <c r="B145" s="7">
        <f t="shared" ref="B145:C145" si="42">(B127*B130)</f>
        <v>0.7406068630437328</v>
      </c>
      <c r="C145" s="7">
        <f t="shared" si="42"/>
        <v>0.44815592777358254</v>
      </c>
      <c r="D145" s="7"/>
      <c r="E145" s="7">
        <f t="shared" ref="E145:H145" si="43">(E127*E130)</f>
        <v>4.8035096911336845</v>
      </c>
      <c r="F145" s="7">
        <f t="shared" si="43"/>
        <v>4.5751519464134391</v>
      </c>
      <c r="G145" s="7">
        <f t="shared" si="43"/>
        <v>4.5751519464134391</v>
      </c>
      <c r="H145" s="7">
        <f t="shared" si="43"/>
        <v>4.5751519464134391</v>
      </c>
      <c r="I145" s="7"/>
      <c r="J145" s="7" t="s">
        <v>154</v>
      </c>
      <c r="K145" s="110">
        <v>0</v>
      </c>
      <c r="L145" s="110">
        <v>-4.0537169999999997E-2</v>
      </c>
      <c r="M145" s="110">
        <v>0</v>
      </c>
      <c r="N145" s="110">
        <v>0</v>
      </c>
      <c r="O145" s="110">
        <v>0</v>
      </c>
      <c r="P145" s="110">
        <v>0</v>
      </c>
      <c r="Q145" s="110"/>
      <c r="R145" s="110">
        <v>0</v>
      </c>
      <c r="S145" s="110">
        <v>0</v>
      </c>
      <c r="T145" s="110">
        <v>0</v>
      </c>
      <c r="U145" s="110">
        <v>0</v>
      </c>
      <c r="V145" s="110">
        <v>0</v>
      </c>
      <c r="W145" s="110">
        <v>0</v>
      </c>
      <c r="X145" s="7"/>
      <c r="Y145" s="7"/>
      <c r="Z145" s="7"/>
    </row>
    <row r="146" spans="1:26" ht="15.75" customHeight="1" x14ac:dyDescent="0.2">
      <c r="A146" s="7" t="s">
        <v>155</v>
      </c>
      <c r="B146" s="7">
        <f t="shared" ref="B146:C146" si="44">(B128*B126)</f>
        <v>0.24629224214469417</v>
      </c>
      <c r="C146" s="7">
        <f t="shared" si="44"/>
        <v>9.9322340528490913E-2</v>
      </c>
      <c r="D146" s="7"/>
      <c r="E146" s="7">
        <f t="shared" ref="E146:H146" si="45">(E128*E126)</f>
        <v>17.522443252061045</v>
      </c>
      <c r="F146" s="7">
        <f t="shared" si="45"/>
        <v>19.073896067614715</v>
      </c>
      <c r="G146" s="7">
        <f t="shared" si="45"/>
        <v>0.22428514427926499</v>
      </c>
      <c r="H146" s="7">
        <f t="shared" si="45"/>
        <v>19.073896067614715</v>
      </c>
      <c r="I146" s="7"/>
      <c r="J146" s="7" t="s">
        <v>155</v>
      </c>
      <c r="K146" s="110">
        <v>0</v>
      </c>
      <c r="L146" s="110">
        <v>0</v>
      </c>
      <c r="M146" s="110">
        <v>0</v>
      </c>
      <c r="N146" s="110">
        <v>0</v>
      </c>
      <c r="O146" s="110">
        <v>0</v>
      </c>
      <c r="P146" s="110">
        <v>0</v>
      </c>
      <c r="Q146" s="110"/>
      <c r="R146" s="110">
        <v>0</v>
      </c>
      <c r="S146" s="110">
        <v>0</v>
      </c>
      <c r="T146" s="110">
        <v>0</v>
      </c>
      <c r="U146" s="110">
        <v>0</v>
      </c>
      <c r="V146" s="110">
        <v>0</v>
      </c>
      <c r="W146" s="110">
        <v>0</v>
      </c>
      <c r="X146" s="7"/>
      <c r="Y146" s="7"/>
      <c r="Z146" s="7"/>
    </row>
    <row r="147" spans="1:26" ht="15.75" customHeight="1" x14ac:dyDescent="0.2">
      <c r="A147" s="7" t="s">
        <v>156</v>
      </c>
      <c r="B147" s="7">
        <f t="shared" ref="B147:C147" si="46">(B129*B129)</f>
        <v>0.75735702454399523</v>
      </c>
      <c r="C147" s="7">
        <f t="shared" si="46"/>
        <v>0.31293273276335226</v>
      </c>
      <c r="D147" s="7"/>
      <c r="E147" s="7">
        <f t="shared" ref="E147:H147" si="47">(E129*E129)</f>
        <v>0.75735702454399523</v>
      </c>
      <c r="F147" s="7">
        <f t="shared" si="47"/>
        <v>0.31293273276335226</v>
      </c>
      <c r="G147" s="7">
        <f t="shared" si="47"/>
        <v>0.31293273276335226</v>
      </c>
      <c r="H147" s="7">
        <f t="shared" si="47"/>
        <v>0.31293273276335226</v>
      </c>
      <c r="I147" s="7"/>
      <c r="J147" s="7" t="s">
        <v>156</v>
      </c>
      <c r="K147" s="110">
        <v>0</v>
      </c>
      <c r="L147" s="110">
        <v>0</v>
      </c>
      <c r="M147" s="110">
        <v>0</v>
      </c>
      <c r="N147" s="110">
        <v>0</v>
      </c>
      <c r="O147" s="110">
        <v>0</v>
      </c>
      <c r="P147" s="110">
        <v>0</v>
      </c>
      <c r="Q147" s="110"/>
      <c r="R147" s="110">
        <v>1.3486985E-2</v>
      </c>
      <c r="S147" s="110">
        <v>0</v>
      </c>
      <c r="T147" s="110">
        <v>0</v>
      </c>
      <c r="U147" s="110">
        <v>0</v>
      </c>
      <c r="V147" s="110">
        <v>0</v>
      </c>
      <c r="W147" s="110">
        <v>0</v>
      </c>
      <c r="X147" s="7"/>
      <c r="Y147" s="7"/>
      <c r="Z147" s="7"/>
    </row>
    <row r="148" spans="1:26" ht="15.75" customHeight="1" x14ac:dyDescent="0.2">
      <c r="A148" s="7" t="s">
        <v>157</v>
      </c>
      <c r="B148" s="7">
        <f t="shared" ref="B148:C148" si="48">(B130*B130)</f>
        <v>1.3875556817945827</v>
      </c>
      <c r="C148" s="7">
        <f t="shared" si="48"/>
        <v>0.95223668372014181</v>
      </c>
      <c r="D148" s="7"/>
      <c r="E148" s="7">
        <f t="shared" ref="E148:H148" si="49">(E130*E130)</f>
        <v>2.1817754467943637</v>
      </c>
      <c r="F148" s="7">
        <f t="shared" si="49"/>
        <v>1.5869920811906557</v>
      </c>
      <c r="G148" s="7">
        <f t="shared" si="49"/>
        <v>1.5869920811906557</v>
      </c>
      <c r="H148" s="7">
        <f t="shared" si="49"/>
        <v>1.5869920811906557</v>
      </c>
      <c r="I148" s="7"/>
      <c r="J148" s="7" t="s">
        <v>157</v>
      </c>
      <c r="K148" s="110">
        <v>0</v>
      </c>
      <c r="L148" s="110">
        <v>0</v>
      </c>
      <c r="M148" s="110">
        <v>0</v>
      </c>
      <c r="N148" s="110">
        <v>0</v>
      </c>
      <c r="O148" s="110">
        <v>0</v>
      </c>
      <c r="P148" s="110">
        <v>0</v>
      </c>
      <c r="Q148" s="110"/>
      <c r="R148" s="110">
        <v>0</v>
      </c>
      <c r="S148" s="110">
        <v>0</v>
      </c>
      <c r="T148" s="110">
        <v>0</v>
      </c>
      <c r="U148" s="110">
        <v>0</v>
      </c>
      <c r="V148" s="110">
        <v>0</v>
      </c>
      <c r="W148" s="110">
        <v>0</v>
      </c>
      <c r="X148" s="7"/>
      <c r="Y148" s="7"/>
      <c r="Z148" s="7"/>
    </row>
    <row r="149" spans="1:26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2">
      <c r="A152" s="7"/>
      <c r="B152" s="7"/>
      <c r="C152" s="7"/>
      <c r="D152" s="7"/>
      <c r="E152" s="7"/>
      <c r="F152" s="7"/>
      <c r="G152" s="7"/>
      <c r="H152" s="7" t="s">
        <v>158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 t="s">
        <v>159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 t="s">
        <v>118</v>
      </c>
      <c r="J154" s="7" t="s">
        <v>118</v>
      </c>
      <c r="K154" s="7" t="s">
        <v>118</v>
      </c>
      <c r="L154" s="7" t="s">
        <v>118</v>
      </c>
      <c r="M154" s="7" t="s">
        <v>118</v>
      </c>
      <c r="N154" s="7" t="s">
        <v>118</v>
      </c>
      <c r="O154" s="7" t="s">
        <v>118</v>
      </c>
      <c r="P154" s="7" t="s">
        <v>119</v>
      </c>
      <c r="Q154" s="7" t="s">
        <v>119</v>
      </c>
      <c r="R154" s="7" t="s">
        <v>119</v>
      </c>
      <c r="S154" s="7" t="s">
        <v>119</v>
      </c>
      <c r="T154" s="7" t="s">
        <v>119</v>
      </c>
      <c r="U154" s="7" t="s">
        <v>119</v>
      </c>
      <c r="V154" s="7" t="s">
        <v>119</v>
      </c>
      <c r="W154" s="7"/>
      <c r="X154" s="7"/>
      <c r="Y154" s="7"/>
      <c r="Z154" s="7"/>
    </row>
    <row r="155" spans="1:26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 t="s">
        <v>123</v>
      </c>
      <c r="J155" s="7" t="s">
        <v>123</v>
      </c>
      <c r="K155" s="7" t="s">
        <v>122</v>
      </c>
      <c r="L155" s="7" t="s">
        <v>122</v>
      </c>
      <c r="M155" s="7" t="s">
        <v>122</v>
      </c>
      <c r="N155" s="7" t="s">
        <v>122</v>
      </c>
      <c r="O155" s="7" t="s">
        <v>122</v>
      </c>
      <c r="P155" s="7" t="s">
        <v>123</v>
      </c>
      <c r="Q155" s="7" t="s">
        <v>123</v>
      </c>
      <c r="R155" s="7" t="s">
        <v>122</v>
      </c>
      <c r="S155" s="7" t="s">
        <v>122</v>
      </c>
      <c r="T155" s="7" t="s">
        <v>122</v>
      </c>
      <c r="U155" s="7" t="s">
        <v>122</v>
      </c>
      <c r="V155" s="7" t="s">
        <v>122</v>
      </c>
      <c r="W155" s="7"/>
      <c r="X155" s="7"/>
      <c r="Y155" s="7"/>
      <c r="Z155" s="7"/>
    </row>
    <row r="156" spans="1:26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 t="s">
        <v>94</v>
      </c>
      <c r="J156" s="7" t="s">
        <v>95</v>
      </c>
      <c r="K156" s="7" t="s">
        <v>25</v>
      </c>
      <c r="L156" s="7" t="s">
        <v>126</v>
      </c>
      <c r="M156" s="7" t="s">
        <v>128</v>
      </c>
      <c r="N156" s="7" t="s">
        <v>129</v>
      </c>
      <c r="O156" s="7" t="s">
        <v>160</v>
      </c>
      <c r="P156" s="7" t="s">
        <v>94</v>
      </c>
      <c r="Q156" s="7" t="s">
        <v>95</v>
      </c>
      <c r="R156" s="7" t="s">
        <v>25</v>
      </c>
      <c r="S156" s="7" t="s">
        <v>126</v>
      </c>
      <c r="T156" s="7" t="s">
        <v>128</v>
      </c>
      <c r="U156" s="7" t="s">
        <v>129</v>
      </c>
      <c r="V156" s="7" t="s">
        <v>161</v>
      </c>
      <c r="W156" s="7"/>
      <c r="X156" s="7"/>
      <c r="Y156" s="7"/>
      <c r="Z156" s="7"/>
    </row>
    <row r="157" spans="1:26" ht="15.75" customHeight="1" x14ac:dyDescent="0.2">
      <c r="A157" s="7"/>
      <c r="B157" s="7"/>
      <c r="C157" s="7"/>
      <c r="D157" s="7"/>
      <c r="E157" s="7"/>
      <c r="F157" s="7"/>
      <c r="G157" s="7" t="s">
        <v>162</v>
      </c>
      <c r="H157" s="7"/>
      <c r="I157" s="7">
        <f t="shared" ref="I157:N157" si="50">(K123+$B125*K125+$B126*K126+$B127*K127+$B128*K128+$B129*K129+$B130*K130+$B131*K131+$B132*K132+$B133*K133+$B134*K134+$B135*K135+$B136*K136+$B137*K137+$B138*K138+$B139*K139+$B140*K140+$B141*K141+$B142*K142+$B143*K143+$B144*K144+$B145*K145+$B146*K146+$B147*K147+$B148*K148)</f>
        <v>-0.16480626613621432</v>
      </c>
      <c r="J157" s="7">
        <f t="shared" si="50"/>
        <v>-0.83910633430391945</v>
      </c>
      <c r="K157" s="7">
        <f t="shared" si="50"/>
        <v>2.6807426177530473</v>
      </c>
      <c r="L157" s="7">
        <f t="shared" si="50"/>
        <v>0.50620250686155421</v>
      </c>
      <c r="M157" s="7">
        <f t="shared" si="50"/>
        <v>2.4488062868167848</v>
      </c>
      <c r="N157" s="7">
        <f t="shared" si="50"/>
        <v>1.1054581093316949</v>
      </c>
      <c r="O157" s="7"/>
      <c r="P157" s="7">
        <f t="shared" ref="P157:U157" si="51">(R123+$C125*R125+$C126*R126+$C127*R127+$C128*R128+$C129*R129+$C130*R130+$C131*R131+$C132*R132+$C133*R133+$C134*R134+$C135*R135+$C136*R136+$C137*R137+$C138*R138+$C139*R139+$C140*R140+$C141*R141+$C142*R142+$C143*R143+$C144*R144+$C145*R145+$C146*R146+$C147*R147+$C148*R148)</f>
        <v>-0.73370041556644983</v>
      </c>
      <c r="Q157" s="7">
        <f t="shared" si="51"/>
        <v>-1.2855407942559716</v>
      </c>
      <c r="R157" s="7">
        <f t="shared" si="51"/>
        <v>1.7894624453677159</v>
      </c>
      <c r="S157" s="7">
        <f t="shared" si="51"/>
        <v>-0.22964287599693639</v>
      </c>
      <c r="T157" s="7">
        <f t="shared" si="51"/>
        <v>0.64655169381215993</v>
      </c>
      <c r="U157" s="7">
        <f t="shared" si="51"/>
        <v>-0.4560417363497139</v>
      </c>
      <c r="V157" s="7"/>
      <c r="W157" s="7"/>
      <c r="X157" s="7"/>
      <c r="Y157" s="7"/>
      <c r="Z157" s="7"/>
    </row>
    <row r="158" spans="1:26" ht="15.75" customHeight="1" x14ac:dyDescent="0.2">
      <c r="A158" s="7"/>
      <c r="B158" s="7"/>
      <c r="C158" s="7"/>
      <c r="D158" s="7"/>
      <c r="E158" s="7"/>
      <c r="F158" s="7"/>
      <c r="G158" s="7" t="s">
        <v>163</v>
      </c>
      <c r="H158" s="7"/>
      <c r="I158" s="7">
        <f t="shared" ref="I158:N158" si="52">EXP(I157)</f>
        <v>0.84805798572423252</v>
      </c>
      <c r="J158" s="7">
        <f t="shared" si="52"/>
        <v>0.43209650075616557</v>
      </c>
      <c r="K158" s="7">
        <f t="shared" si="52"/>
        <v>14.595928467789722</v>
      </c>
      <c r="L158" s="7">
        <f t="shared" si="52"/>
        <v>1.6589792554184355</v>
      </c>
      <c r="M158" s="7">
        <f t="shared" si="52"/>
        <v>11.574521810102771</v>
      </c>
      <c r="N158" s="7">
        <f t="shared" si="52"/>
        <v>3.0206079205720973</v>
      </c>
      <c r="O158" s="7">
        <f>($T$98*K158+$T$99*L158+$T$100*M158+$T$101*N158)</f>
        <v>4.5937250850254383</v>
      </c>
      <c r="P158" s="7">
        <f t="shared" ref="P158:U158" si="53">EXP(P157)</f>
        <v>0.48012902190375573</v>
      </c>
      <c r="Q158" s="7">
        <f t="shared" si="53"/>
        <v>0.27650101303253982</v>
      </c>
      <c r="R158" s="7">
        <f t="shared" si="53"/>
        <v>5.9862336736809372</v>
      </c>
      <c r="S158" s="7">
        <f t="shared" si="53"/>
        <v>0.79481740019649638</v>
      </c>
      <c r="T158" s="7">
        <f t="shared" si="53"/>
        <v>1.908946833312235</v>
      </c>
      <c r="U158" s="7">
        <f t="shared" si="53"/>
        <v>0.63378738457461015</v>
      </c>
      <c r="V158" s="7">
        <f>($T$98*R158+$T$99*S158+$T$100*T158+$T$101*U158)</f>
        <v>1.889430862041378</v>
      </c>
      <c r="W158" s="7"/>
      <c r="X158" s="7"/>
      <c r="Y158" s="7"/>
      <c r="Z158" s="7"/>
    </row>
    <row r="159" spans="1:26" ht="15.75" customHeight="1" x14ac:dyDescent="0.2">
      <c r="A159" s="7" t="s">
        <v>119</v>
      </c>
      <c r="B159" s="7"/>
      <c r="C159" s="7" t="s">
        <v>164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2">
      <c r="A160" s="7" t="s">
        <v>117</v>
      </c>
      <c r="B160" s="7"/>
      <c r="C160" s="7" t="s">
        <v>165</v>
      </c>
      <c r="D160" s="7"/>
      <c r="E160" s="7"/>
      <c r="F160" s="7"/>
      <c r="G160" s="7"/>
      <c r="H160" s="7"/>
      <c r="I160" s="7" t="s">
        <v>166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2">
      <c r="A161" s="7">
        <f>(C97)</f>
        <v>7</v>
      </c>
      <c r="B161" s="7"/>
      <c r="C161" s="7"/>
      <c r="D161" s="7"/>
      <c r="E161" s="7"/>
      <c r="F161" s="7"/>
      <c r="G161" s="7"/>
      <c r="H161" s="7"/>
      <c r="I161" s="7" t="s">
        <v>118</v>
      </c>
      <c r="J161" s="7" t="s">
        <v>118</v>
      </c>
      <c r="K161" s="7" t="s">
        <v>118</v>
      </c>
      <c r="L161" s="7" t="s">
        <v>118</v>
      </c>
      <c r="M161" s="7" t="s">
        <v>118</v>
      </c>
      <c r="N161" s="7" t="s">
        <v>118</v>
      </c>
      <c r="O161" s="7" t="s">
        <v>118</v>
      </c>
      <c r="P161" s="7" t="s">
        <v>119</v>
      </c>
      <c r="Q161" s="7" t="s">
        <v>119</v>
      </c>
      <c r="R161" s="7" t="s">
        <v>119</v>
      </c>
      <c r="S161" s="7" t="s">
        <v>119</v>
      </c>
      <c r="T161" s="7" t="s">
        <v>119</v>
      </c>
      <c r="U161" s="7" t="s">
        <v>119</v>
      </c>
      <c r="V161" s="7" t="s">
        <v>119</v>
      </c>
      <c r="W161" s="7"/>
      <c r="X161" s="7"/>
      <c r="Y161" s="7"/>
      <c r="Z161" s="7"/>
    </row>
    <row r="162" spans="1:26" ht="15.75" customHeight="1" x14ac:dyDescent="0.2">
      <c r="A162" s="109">
        <f>IF(C98&lt;181.3,181.3,C98)</f>
        <v>181.3</v>
      </c>
      <c r="B162" s="7"/>
      <c r="C162" s="7"/>
      <c r="D162" s="7"/>
      <c r="E162" s="7"/>
      <c r="F162" s="7"/>
      <c r="G162" s="7"/>
      <c r="H162" s="7"/>
      <c r="I162" s="7" t="s">
        <v>123</v>
      </c>
      <c r="J162" s="7" t="s">
        <v>123</v>
      </c>
      <c r="K162" s="7" t="s">
        <v>122</v>
      </c>
      <c r="L162" s="7" t="s">
        <v>122</v>
      </c>
      <c r="M162" s="7" t="s">
        <v>122</v>
      </c>
      <c r="N162" s="7" t="s">
        <v>122</v>
      </c>
      <c r="O162" s="7" t="s">
        <v>122</v>
      </c>
      <c r="P162" s="7" t="s">
        <v>123</v>
      </c>
      <c r="Q162" s="7" t="s">
        <v>123</v>
      </c>
      <c r="R162" s="7" t="s">
        <v>122</v>
      </c>
      <c r="S162" s="7" t="s">
        <v>122</v>
      </c>
      <c r="T162" s="7" t="s">
        <v>122</v>
      </c>
      <c r="U162" s="7" t="s">
        <v>122</v>
      </c>
      <c r="V162" s="7" t="s">
        <v>122</v>
      </c>
      <c r="W162" s="7"/>
      <c r="X162" s="7"/>
      <c r="Y162" s="7"/>
      <c r="Z162" s="7"/>
    </row>
    <row r="163" spans="1:26" ht="15.75" customHeight="1" x14ac:dyDescent="0.2">
      <c r="A163" s="109">
        <f>IF(C99&lt;C163,C163,C99)</f>
        <v>307.69572399999998</v>
      </c>
      <c r="B163" s="7"/>
      <c r="C163" s="109">
        <f>323.8-0.9712*B24-7.27598*B27</f>
        <v>307.69572399999998</v>
      </c>
      <c r="D163" s="7"/>
      <c r="E163" s="7"/>
      <c r="F163" s="7"/>
      <c r="G163" s="7"/>
      <c r="H163" s="7"/>
      <c r="I163" s="7" t="s">
        <v>94</v>
      </c>
      <c r="J163" s="7" t="s">
        <v>95</v>
      </c>
      <c r="K163" s="7" t="s">
        <v>25</v>
      </c>
      <c r="L163" s="7" t="s">
        <v>126</v>
      </c>
      <c r="M163" s="7" t="s">
        <v>128</v>
      </c>
      <c r="N163" s="7" t="s">
        <v>129</v>
      </c>
      <c r="O163" s="7" t="s">
        <v>161</v>
      </c>
      <c r="P163" s="7" t="s">
        <v>94</v>
      </c>
      <c r="Q163" s="7" t="s">
        <v>95</v>
      </c>
      <c r="R163" s="7" t="s">
        <v>25</v>
      </c>
      <c r="S163" s="7" t="s">
        <v>126</v>
      </c>
      <c r="T163" s="7" t="s">
        <v>128</v>
      </c>
      <c r="U163" s="7" t="s">
        <v>129</v>
      </c>
      <c r="V163" s="7" t="s">
        <v>161</v>
      </c>
      <c r="W163" s="7"/>
      <c r="X163" s="7"/>
      <c r="Y163" s="7"/>
      <c r="Z163" s="7"/>
    </row>
    <row r="164" spans="1:26" ht="15.75" customHeight="1" x14ac:dyDescent="0.2">
      <c r="A164" s="102">
        <f t="shared" ref="A164:A165" si="54">(C100)</f>
        <v>0.1</v>
      </c>
      <c r="B164" s="7"/>
      <c r="C164" s="7"/>
      <c r="D164" s="7"/>
      <c r="E164" s="7"/>
      <c r="F164" s="7"/>
      <c r="G164" s="7" t="s">
        <v>162</v>
      </c>
      <c r="H164" s="7"/>
      <c r="I164" s="7">
        <f t="shared" ref="I164:N164" si="55">(K123+$E125*K125+$E126*K126+$E127*K127+$E128*K128+$E129*K129+$E130*K130+$E131*K131+$E132*K132+$E133*K133+$E134*K134+$E135*K135+$E136*K136+$E137*K137+$E138*K138+$E139*K139+$E140*K140+$E141*K141+$E142*K142+$E143*K143+$E144*K144+$E145*K145+$E146*K146+$E147*K147+$E148*K148)</f>
        <v>0.12150097142015059</v>
      </c>
      <c r="J164" s="7">
        <f t="shared" si="55"/>
        <v>-0.7904729504710637</v>
      </c>
      <c r="K164" s="7">
        <f t="shared" si="55"/>
        <v>1.9812369719196954</v>
      </c>
      <c r="L164" s="7">
        <f t="shared" si="55"/>
        <v>-1.583042662518733</v>
      </c>
      <c r="M164" s="7">
        <f t="shared" si="55"/>
        <v>2.7585602738096688</v>
      </c>
      <c r="N164" s="7">
        <f t="shared" si="55"/>
        <v>1.373663860417597</v>
      </c>
      <c r="O164" s="7"/>
      <c r="P164" s="7">
        <f>(R123+$F125*R125+$F126*R126+$F127*R127+$F128*R128+$F129*R129+$F130*R130+$F131*R131+$F132*R132+$F133*R133+$F134*R134+$F135*R135+$F136*R136+$F137*R137+$F138*R138+$F139*R139+$F140*R140+$F141*R141+$F142*R142+$F143*R143+$F144*R144+$F145*R145+$F146*R146+$F147*R147+$F148*R148)</f>
        <v>-0.68859904546896866</v>
      </c>
      <c r="Q164" s="7">
        <f>S123+$G125*S125+$G126*S126+$G127*S127+$G128*S128+$G129*S129+$G130*S130+$G131*S131+$G132*S132+$G133*S133+$G134*S134+$G135*S135+$G136*S136+$G137*S137+$G138*S138+$G139*S139+$G140*S140+$G141*S141+$G142*S142+$G143*S143+$G144*S144+$G145*S145+$G146*S146+$G147*S147+$G148*S148</f>
        <v>-1.5185476136919298</v>
      </c>
      <c r="R164" s="7">
        <f>T123+$H125*T125+$H126*T126+$H127*T127+$H128*T128+$H129*T129+$H130*T130+$H131*T131+$H132*T132+$H133*T133+$H134*T134+$H135*T135+$H136*T136+$H137*T137+$H138*T138+$H139*T139+$H140*T140+$H141*T141+$H142*T142+$H143*T143+$H144*T144+$H145*T145+$H146*T146+$H147*T147+H148*T148</f>
        <v>0.55274818404238357</v>
      </c>
      <c r="S164" s="7">
        <f t="shared" ref="S164:U164" si="56">U123+$H125*U125+$H126*U126+$H127*U127+$H128*U128+$H129*U129+$H130*U130+$H131*U131+$H132*U132+$H133*U133+$H134*U134+$H135*U135+$H136*U136+$H137*U137+$H138*U138+$H139*U139+$H140*U140+$H141*U141+$H142*U142+$H143*U143+$H144*U144+$H145*U145+$H146*U146+$H147*U147+$H148*U148</f>
        <v>-1.8443900626307965</v>
      </c>
      <c r="T164" s="7">
        <f t="shared" si="56"/>
        <v>-0.18311567564529913</v>
      </c>
      <c r="U164" s="7">
        <f t="shared" si="56"/>
        <v>-1.7459688847550254</v>
      </c>
      <c r="V164" s="7"/>
      <c r="W164" s="7"/>
      <c r="X164" s="7"/>
      <c r="Y164" s="7"/>
      <c r="Z164" s="7"/>
    </row>
    <row r="165" spans="1:26" ht="15.75" customHeight="1" x14ac:dyDescent="0.2">
      <c r="A165" s="102">
        <f t="shared" si="54"/>
        <v>0</v>
      </c>
      <c r="B165" s="7"/>
      <c r="C165" s="7"/>
      <c r="D165" s="7"/>
      <c r="E165" s="7"/>
      <c r="F165" s="7"/>
      <c r="G165" s="7" t="s">
        <v>163</v>
      </c>
      <c r="H165" s="7"/>
      <c r="I165" s="7">
        <f t="shared" ref="I165:N165" si="57">EXP(I164)</f>
        <v>1.1291904628429943</v>
      </c>
      <c r="J165" s="7">
        <f t="shared" si="57"/>
        <v>0.45363019992312542</v>
      </c>
      <c r="K165" s="7">
        <f t="shared" si="57"/>
        <v>7.2517075981994648</v>
      </c>
      <c r="L165" s="7">
        <f t="shared" si="57"/>
        <v>0.20534933796515994</v>
      </c>
      <c r="M165" s="7">
        <f t="shared" si="57"/>
        <v>15.777111867757073</v>
      </c>
      <c r="N165" s="7">
        <f t="shared" si="57"/>
        <v>3.9497957172256823</v>
      </c>
      <c r="O165" s="7">
        <f>($T$98*K165+$T$99*L165+$T$100*M165+$T$101*N165)</f>
        <v>2.0535352765061772</v>
      </c>
      <c r="P165" s="7">
        <f t="shared" ref="P165:U165" si="58">EXP(P164)</f>
        <v>0.50227924677766211</v>
      </c>
      <c r="Q165" s="7">
        <f t="shared" si="58"/>
        <v>0.219029771892224</v>
      </c>
      <c r="R165" s="7">
        <f t="shared" si="58"/>
        <v>1.7380228673626155</v>
      </c>
      <c r="S165" s="7">
        <f t="shared" si="58"/>
        <v>0.15812173583868988</v>
      </c>
      <c r="T165" s="7">
        <f t="shared" si="58"/>
        <v>0.83267183031465164</v>
      </c>
      <c r="U165" s="7">
        <f t="shared" si="58"/>
        <v>0.17447586004590654</v>
      </c>
      <c r="V165" s="7">
        <f>($T$98*R165+$T$99*S165+$T$100*T165+$T$101*U165)</f>
        <v>0.48552075111208182</v>
      </c>
      <c r="W165" s="7"/>
      <c r="X165" s="7"/>
      <c r="Y165" s="7"/>
      <c r="Z165" s="7"/>
    </row>
    <row r="166" spans="1:26" ht="15.75" customHeight="1" x14ac:dyDescent="0.2">
      <c r="A166" s="102">
        <f>IF(C102&lt;C166,C166,C102)</f>
        <v>2</v>
      </c>
      <c r="B166" s="7"/>
      <c r="C166" s="102">
        <f>4.724+0.035867*B24-0.57808*7</f>
        <v>0.68102669999999943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2">
      <c r="A167" s="109">
        <f t="shared" ref="A167:A168" si="59">(C103)</f>
        <v>1</v>
      </c>
      <c r="B167" s="7"/>
      <c r="C167" s="7"/>
      <c r="D167" s="7"/>
      <c r="E167" s="7"/>
      <c r="F167" s="7"/>
      <c r="G167" s="7"/>
      <c r="H167" s="7" t="s">
        <v>167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2">
      <c r="A168" s="101">
        <f t="shared" si="59"/>
        <v>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2">
      <c r="A169" s="7"/>
      <c r="B169" s="7"/>
      <c r="C169" s="7"/>
      <c r="D169" s="7"/>
      <c r="E169" s="7"/>
      <c r="F169" s="7"/>
      <c r="G169" s="7"/>
      <c r="H169" s="7" t="s">
        <v>91</v>
      </c>
      <c r="I169" s="7"/>
      <c r="J169" s="7" t="s">
        <v>118</v>
      </c>
      <c r="K169" s="7" t="s">
        <v>119</v>
      </c>
      <c r="L169" s="7" t="s">
        <v>92</v>
      </c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2">
      <c r="A170" s="7"/>
      <c r="B170" s="7"/>
      <c r="C170" s="7"/>
      <c r="D170" s="7"/>
      <c r="E170" s="7"/>
      <c r="F170" s="7"/>
      <c r="G170" s="7"/>
      <c r="H170" s="7" t="s">
        <v>168</v>
      </c>
      <c r="I170" s="7"/>
      <c r="J170" s="7">
        <f>((I$165-I$158)/I$158)*100</f>
        <v>33.150147967615403</v>
      </c>
      <c r="K170" s="7">
        <f>((P$165-P$158)/P$158)*100</f>
        <v>4.6133901229462673</v>
      </c>
      <c r="L170" s="7">
        <f t="shared" ref="L170:L171" si="60">(O98*J170+P98*K170)</f>
        <v>9.5787859879186961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2">
      <c r="A171" s="7"/>
      <c r="B171" s="7"/>
      <c r="C171" s="7"/>
      <c r="D171" s="7"/>
      <c r="E171" s="7"/>
      <c r="F171" s="7"/>
      <c r="G171" s="7"/>
      <c r="H171" s="7" t="s">
        <v>169</v>
      </c>
      <c r="I171" s="7"/>
      <c r="J171" s="7">
        <f>((J$165-J$158)/J$158)*100</f>
        <v>4.9835393550459317</v>
      </c>
      <c r="K171" s="7">
        <f>((Q$165-Q$158)/Q$158)*100</f>
        <v>-20.785182849783034</v>
      </c>
      <c r="L171" s="7">
        <f t="shared" si="60"/>
        <v>-15.6829758532269</v>
      </c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2">
      <c r="A172" s="7"/>
      <c r="B172" s="7"/>
      <c r="C172" s="7"/>
      <c r="D172" s="7"/>
      <c r="E172" s="7"/>
      <c r="F172" s="7"/>
      <c r="G172" s="7"/>
      <c r="H172" s="7" t="s">
        <v>65</v>
      </c>
      <c r="I172" s="7"/>
      <c r="J172" s="7">
        <f>((K$165-K$158)/K$158)*100</f>
        <v>-50.316914650530634</v>
      </c>
      <c r="K172" s="7">
        <f>((R$165-R$158)/R$158)*100</f>
        <v>-70.966337732454321</v>
      </c>
      <c r="L172" s="7">
        <f>((((O$100*K$165+P$100*R$165)/(O$100*K$158+P$100*R$158))-1)*100)</f>
        <v>-66.993825098779823</v>
      </c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2">
      <c r="A173" s="7"/>
      <c r="B173" s="7"/>
      <c r="C173" s="7"/>
      <c r="D173" s="7"/>
      <c r="E173" s="7"/>
      <c r="F173" s="7"/>
      <c r="G173" s="7"/>
      <c r="H173" s="7" t="s">
        <v>126</v>
      </c>
      <c r="I173" s="7"/>
      <c r="J173" s="7">
        <f>((L$165-L$158)/L$158)*100</f>
        <v>-87.621946609973392</v>
      </c>
      <c r="K173" s="7">
        <f>((S$165-S$158)/S$158)*100</f>
        <v>-80.10590409827482</v>
      </c>
      <c r="L173" s="7">
        <f>((((O$100*L$165+P$100*S$165)/(O$100*L$158+P$100*S$158))-1)*100)</f>
        <v>-81.378936012028674</v>
      </c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2">
      <c r="A174" s="7"/>
      <c r="B174" s="7"/>
      <c r="C174" s="7"/>
      <c r="D174" s="7"/>
      <c r="E174" s="7"/>
      <c r="F174" s="7"/>
      <c r="G174" s="7"/>
      <c r="H174" s="7" t="s">
        <v>128</v>
      </c>
      <c r="I174" s="7"/>
      <c r="J174" s="7">
        <f>((M$165-M$158)/M$158)*100</f>
        <v>36.308973507536955</v>
      </c>
      <c r="K174" s="7">
        <f>((T$165-T$158)/T$158)*100</f>
        <v>-56.38056462421882</v>
      </c>
      <c r="L174" s="7">
        <f>((((O$100*M$165+P$100*T$165)/(O$100*M$158+P$100*T$158))-1)*100)</f>
        <v>-21.900178183657438</v>
      </c>
      <c r="M174" s="7"/>
      <c r="N174" s="7" t="s">
        <v>170</v>
      </c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2">
      <c r="A175" s="7"/>
      <c r="B175" s="7"/>
      <c r="C175" s="7"/>
      <c r="D175" s="7"/>
      <c r="E175" s="7"/>
      <c r="F175" s="7"/>
      <c r="G175" s="7"/>
      <c r="H175" s="7" t="s">
        <v>129</v>
      </c>
      <c r="I175" s="7"/>
      <c r="J175" s="7">
        <f>((N$165-N$158)/N$158)*100</f>
        <v>30.761615578283948</v>
      </c>
      <c r="K175" s="7">
        <f>((U$165-U$158)/U$158)*100</f>
        <v>-72.470916226423086</v>
      </c>
      <c r="L175" s="7">
        <f>((((O$100*N$165+P$100*U$165)/(O$100*N$158+P$100*U$158))-1)*100)</f>
        <v>-39.674942907144704</v>
      </c>
      <c r="M175" s="7"/>
      <c r="N175" s="7" t="s">
        <v>116</v>
      </c>
      <c r="O175" s="7" t="s">
        <v>117</v>
      </c>
      <c r="P175" s="7" t="s">
        <v>171</v>
      </c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2">
      <c r="A176" s="7"/>
      <c r="B176" s="7"/>
      <c r="C176" s="7"/>
      <c r="D176" s="7"/>
      <c r="E176" s="7"/>
      <c r="F176" s="7"/>
      <c r="G176" s="7"/>
      <c r="H176" s="7" t="s">
        <v>172</v>
      </c>
      <c r="I176" s="7"/>
      <c r="J176" s="7">
        <f>((O$165-O$158)/O$158)*100</f>
        <v>-55.296948805224254</v>
      </c>
      <c r="K176" s="7">
        <f>((V$165-V$158)/V$158)*100</f>
        <v>-74.303333301779801</v>
      </c>
      <c r="L176" s="7">
        <f>((((O$100*O$165+P$100*V$165)/(O$100*O$158+P$100*V$158))-1)*100)</f>
        <v>-70.655358198372596</v>
      </c>
      <c r="M176" s="7"/>
      <c r="N176" s="7">
        <f>((K158*O$100+R158*P$100)*T$98)+((L158*O$100+S158*P$100)*T$99)+((M158*O$100+T158*P$100)*T$100)+((N158*O$100+U158*P$100)*T$101)</f>
        <v>2.1301130478869594</v>
      </c>
      <c r="O176" s="7">
        <f>((K165*O$100+R165*P$100)*T$98)+((L165*O$100+S165*P$100)*T$99)+((M165*O$100+T165*P$100)*T$100)+((N165*O$100+U165*P$100)*T$101)</f>
        <v>0.62507404387215626</v>
      </c>
      <c r="P176" s="7">
        <f>((O176-N176)/N176)*100</f>
        <v>-70.655358198372596</v>
      </c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 t="s">
        <v>173</v>
      </c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 t="s">
        <v>174</v>
      </c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25">
      <c r="A186" s="35" t="s">
        <v>175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2">
      <c r="A189" s="7"/>
      <c r="B189" s="7"/>
      <c r="C189" s="7"/>
      <c r="D189" s="7"/>
      <c r="E189" s="7"/>
      <c r="F189" s="7" t="s">
        <v>115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2">
      <c r="A190" s="7" t="s">
        <v>17</v>
      </c>
      <c r="B190" s="7" t="s">
        <v>116</v>
      </c>
      <c r="C190" s="7" t="s">
        <v>117</v>
      </c>
      <c r="D190" s="7"/>
      <c r="E190" s="7"/>
      <c r="F190" s="7"/>
      <c r="G190" s="66" t="s">
        <v>118</v>
      </c>
      <c r="H190" s="66" t="s">
        <v>118</v>
      </c>
      <c r="I190" s="66" t="s">
        <v>119</v>
      </c>
      <c r="J190" s="66" t="s">
        <v>119</v>
      </c>
      <c r="K190" s="66" t="s">
        <v>98</v>
      </c>
      <c r="L190" s="66"/>
      <c r="M190" s="7"/>
      <c r="N190" s="7" t="s">
        <v>120</v>
      </c>
      <c r="O190" s="7"/>
      <c r="P190" s="7"/>
      <c r="Q190" s="7"/>
      <c r="R190" s="7" t="s">
        <v>121</v>
      </c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2">
      <c r="A191" s="7" t="s">
        <v>81</v>
      </c>
      <c r="B191" s="7">
        <v>7</v>
      </c>
      <c r="C191" s="7">
        <v>7</v>
      </c>
      <c r="D191" s="7"/>
      <c r="E191" s="7"/>
      <c r="F191" s="7" t="s">
        <v>91</v>
      </c>
      <c r="G191" s="66" t="s">
        <v>122</v>
      </c>
      <c r="H191" s="66" t="s">
        <v>123</v>
      </c>
      <c r="I191" s="66" t="s">
        <v>122</v>
      </c>
      <c r="J191" s="66" t="s">
        <v>123</v>
      </c>
      <c r="K191" s="66" t="s">
        <v>122</v>
      </c>
      <c r="L191" s="66" t="s">
        <v>123</v>
      </c>
      <c r="M191" s="7"/>
      <c r="N191" s="7" t="s">
        <v>91</v>
      </c>
      <c r="O191" s="7" t="s">
        <v>118</v>
      </c>
      <c r="P191" s="7" t="s">
        <v>119</v>
      </c>
      <c r="Q191" s="7"/>
      <c r="R191" s="7" t="s">
        <v>91</v>
      </c>
      <c r="S191" s="7"/>
      <c r="T191" s="7" t="s">
        <v>124</v>
      </c>
      <c r="U191" s="7"/>
      <c r="V191" s="7"/>
      <c r="W191" s="7"/>
      <c r="X191" s="7"/>
      <c r="Y191" s="7"/>
      <c r="Z191" s="7"/>
    </row>
    <row r="192" spans="1:26" ht="15.75" customHeight="1" x14ac:dyDescent="0.2">
      <c r="A192" s="7" t="s">
        <v>18</v>
      </c>
      <c r="B192" s="7">
        <f>IF(B37="A",200,210)</f>
        <v>210</v>
      </c>
      <c r="C192" s="109">
        <f t="shared" ref="C192:C195" si="61">VALUE(B22)</f>
        <v>80</v>
      </c>
      <c r="D192" s="7"/>
      <c r="E192" s="7"/>
      <c r="F192" s="7" t="s">
        <v>94</v>
      </c>
      <c r="G192" s="111" t="s">
        <v>125</v>
      </c>
      <c r="H192" s="111">
        <f>($J$264)</f>
        <v>33.150147967615403</v>
      </c>
      <c r="I192" s="111" t="s">
        <v>125</v>
      </c>
      <c r="J192" s="111">
        <f>($K$264)</f>
        <v>4.6133901229462673</v>
      </c>
      <c r="K192" s="111" t="s">
        <v>125</v>
      </c>
      <c r="L192" s="111">
        <f>($L$264)</f>
        <v>9.5787859879186961</v>
      </c>
      <c r="M192" s="7"/>
      <c r="N192" s="7" t="s">
        <v>94</v>
      </c>
      <c r="O192" s="7">
        <v>0.17399999999999999</v>
      </c>
      <c r="P192" s="7">
        <v>0.82599999999999996</v>
      </c>
      <c r="Q192" s="7"/>
      <c r="R192" s="7" t="s">
        <v>65</v>
      </c>
      <c r="S192" s="7"/>
      <c r="T192" s="7">
        <v>0.17</v>
      </c>
      <c r="U192" s="7"/>
      <c r="V192" s="7"/>
      <c r="W192" s="7"/>
      <c r="X192" s="7"/>
      <c r="Y192" s="7"/>
      <c r="Z192" s="7"/>
    </row>
    <row r="193" spans="1:26" ht="15.75" customHeight="1" x14ac:dyDescent="0.2">
      <c r="A193" s="7" t="s">
        <v>20</v>
      </c>
      <c r="B193" s="7">
        <f>IF(B38="A",290,300)</f>
        <v>300</v>
      </c>
      <c r="C193" s="109">
        <f t="shared" si="61"/>
        <v>-1</v>
      </c>
      <c r="D193" s="7"/>
      <c r="E193" s="7"/>
      <c r="F193" s="7" t="s">
        <v>95</v>
      </c>
      <c r="G193" s="111" t="s">
        <v>125</v>
      </c>
      <c r="H193" s="111">
        <f>($J$265)</f>
        <v>4.9835393550459317</v>
      </c>
      <c r="I193" s="111" t="s">
        <v>125</v>
      </c>
      <c r="J193" s="111">
        <f>($K$265)</f>
        <v>-20.784902499489785</v>
      </c>
      <c r="K193" s="111" t="s">
        <v>125</v>
      </c>
      <c r="L193" s="111">
        <f>($L$265)</f>
        <v>-15.682751012291714</v>
      </c>
      <c r="M193" s="7"/>
      <c r="N193" s="7" t="s">
        <v>95</v>
      </c>
      <c r="O193" s="7">
        <v>0.19800000000000001</v>
      </c>
      <c r="P193" s="7">
        <v>0.80200000000000005</v>
      </c>
      <c r="Q193" s="7"/>
      <c r="R193" s="7" t="s">
        <v>126</v>
      </c>
      <c r="S193" s="7"/>
      <c r="T193" s="7">
        <v>1</v>
      </c>
      <c r="U193" s="7"/>
      <c r="V193" s="7"/>
      <c r="W193" s="7"/>
      <c r="X193" s="7"/>
      <c r="Y193" s="7"/>
      <c r="Z193" s="7"/>
    </row>
    <row r="194" spans="1:26" ht="15.75" customHeight="1" x14ac:dyDescent="0.2">
      <c r="A194" s="7" t="s">
        <v>21</v>
      </c>
      <c r="B194" s="7">
        <f>IF(B39="A",22,25)</f>
        <v>25</v>
      </c>
      <c r="C194" s="102">
        <f t="shared" si="61"/>
        <v>0.1</v>
      </c>
      <c r="D194" s="7"/>
      <c r="E194" s="7"/>
      <c r="F194" s="7" t="s">
        <v>65</v>
      </c>
      <c r="G194" s="111">
        <f>($J$266)</f>
        <v>-50.316914650530634</v>
      </c>
      <c r="H194" s="111" t="s">
        <v>125</v>
      </c>
      <c r="I194" s="111">
        <f>($K$266)</f>
        <v>-70.966337732454321</v>
      </c>
      <c r="J194" s="111" t="s">
        <v>125</v>
      </c>
      <c r="K194" s="111">
        <f>($L$266)</f>
        <v>-66.993825098779823</v>
      </c>
      <c r="L194" s="111" t="s">
        <v>125</v>
      </c>
      <c r="M194" s="7"/>
      <c r="N194" s="7" t="s">
        <v>127</v>
      </c>
      <c r="O194" s="7">
        <v>8.8999999999999996E-2</v>
      </c>
      <c r="P194" s="7">
        <v>0.91100000000000003</v>
      </c>
      <c r="Q194" s="7"/>
      <c r="R194" s="7" t="s">
        <v>128</v>
      </c>
      <c r="S194" s="7"/>
      <c r="T194" s="7">
        <v>3.5000000000000003E-2</v>
      </c>
      <c r="U194" s="7"/>
      <c r="V194" s="7"/>
      <c r="W194" s="7"/>
      <c r="X194" s="7"/>
      <c r="Y194" s="7"/>
      <c r="Z194" s="7"/>
    </row>
    <row r="195" spans="1:26" ht="15.75" customHeight="1" x14ac:dyDescent="0.2">
      <c r="A195" s="7" t="s">
        <v>22</v>
      </c>
      <c r="B195" s="7">
        <f>IF(B40="A",4,6)</f>
        <v>6</v>
      </c>
      <c r="C195" s="102">
        <f t="shared" si="61"/>
        <v>0</v>
      </c>
      <c r="D195" s="7"/>
      <c r="E195" s="7"/>
      <c r="F195" s="7" t="s">
        <v>126</v>
      </c>
      <c r="G195" s="111">
        <f>($J$267)</f>
        <v>-87.621946609973392</v>
      </c>
      <c r="H195" s="111" t="s">
        <v>125</v>
      </c>
      <c r="I195" s="111">
        <f>($K$267)</f>
        <v>-80.10590409827482</v>
      </c>
      <c r="J195" s="111" t="s">
        <v>125</v>
      </c>
      <c r="K195" s="111">
        <f>($L$267)</f>
        <v>-81.378936012028674</v>
      </c>
      <c r="L195" s="111" t="s">
        <v>125</v>
      </c>
      <c r="M195" s="7"/>
      <c r="N195" s="7"/>
      <c r="O195" s="7"/>
      <c r="P195" s="7"/>
      <c r="Q195" s="7"/>
      <c r="R195" s="7" t="s">
        <v>129</v>
      </c>
      <c r="S195" s="7"/>
      <c r="T195" s="7">
        <v>1.6E-2</v>
      </c>
      <c r="U195" s="7"/>
      <c r="V195" s="7"/>
      <c r="W195" s="7"/>
      <c r="X195" s="7"/>
      <c r="Y195" s="7"/>
      <c r="Z195" s="7"/>
    </row>
    <row r="196" spans="1:26" ht="15.75" customHeight="1" x14ac:dyDescent="0.2">
      <c r="A196" s="7" t="s">
        <v>86</v>
      </c>
      <c r="B196" s="7">
        <f>VALUE(C85)</f>
        <v>2</v>
      </c>
      <c r="C196" s="102">
        <f>VALUE(E85)</f>
        <v>2</v>
      </c>
      <c r="D196" s="7"/>
      <c r="E196" s="7"/>
      <c r="F196" s="7" t="s">
        <v>128</v>
      </c>
      <c r="G196" s="111">
        <f>($J$268)</f>
        <v>36.308973507536955</v>
      </c>
      <c r="H196" s="111" t="s">
        <v>125</v>
      </c>
      <c r="I196" s="111">
        <f>($K$268)</f>
        <v>-56.38056462421882</v>
      </c>
      <c r="J196" s="111" t="s">
        <v>125</v>
      </c>
      <c r="K196" s="111">
        <f>($L$268)</f>
        <v>-21.900178183657438</v>
      </c>
      <c r="L196" s="111" t="s">
        <v>125</v>
      </c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2">
      <c r="A197" s="7" t="s">
        <v>23</v>
      </c>
      <c r="B197" s="7">
        <f>IF(B41="A",30,40)</f>
        <v>40</v>
      </c>
      <c r="C197" s="109">
        <f t="shared" ref="C197:C198" si="62">VALUE(B29)</f>
        <v>1</v>
      </c>
      <c r="D197" s="7"/>
      <c r="E197" s="7"/>
      <c r="F197" s="7" t="s">
        <v>129</v>
      </c>
      <c r="G197" s="111">
        <f>($J$269)</f>
        <v>30.761615578283948</v>
      </c>
      <c r="H197" s="111" t="s">
        <v>125</v>
      </c>
      <c r="I197" s="111">
        <f>($K$269)</f>
        <v>-72.470916226423086</v>
      </c>
      <c r="J197" s="111" t="s">
        <v>125</v>
      </c>
      <c r="K197" s="111">
        <f>($L$269)</f>
        <v>-39.674942907144704</v>
      </c>
      <c r="L197" s="111" t="s">
        <v>125</v>
      </c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2">
      <c r="A198" s="7" t="s">
        <v>25</v>
      </c>
      <c r="B198" s="7">
        <f>IF(B42="A",0.8,1)</f>
        <v>1</v>
      </c>
      <c r="C198" s="101">
        <f t="shared" si="62"/>
        <v>0</v>
      </c>
      <c r="D198" s="7"/>
      <c r="E198" s="7"/>
      <c r="F198" s="7" t="s">
        <v>96</v>
      </c>
      <c r="G198" s="111">
        <f>($J$270)</f>
        <v>-55.296948805224254</v>
      </c>
      <c r="H198" s="111" t="s">
        <v>125</v>
      </c>
      <c r="I198" s="111">
        <f>($K$270)</f>
        <v>-74.303333301779801</v>
      </c>
      <c r="J198" s="111" t="s">
        <v>125</v>
      </c>
      <c r="K198" s="111">
        <f>($L$270)</f>
        <v>-70.655358198372596</v>
      </c>
      <c r="L198" s="111" t="s">
        <v>125</v>
      </c>
      <c r="M198" s="7"/>
      <c r="N198" s="7" t="s">
        <v>130</v>
      </c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 t="s">
        <v>131</v>
      </c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2">
      <c r="A201" s="7" t="s">
        <v>132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2">
      <c r="A202" s="7"/>
      <c r="B202" s="7" t="s">
        <v>118</v>
      </c>
      <c r="C202" s="7" t="s">
        <v>118</v>
      </c>
      <c r="D202" s="7"/>
      <c r="E202" s="7" t="s">
        <v>119</v>
      </c>
      <c r="F202" s="7" t="s">
        <v>119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2">
      <c r="A203" s="7" t="s">
        <v>17</v>
      </c>
      <c r="B203" s="7" t="s">
        <v>133</v>
      </c>
      <c r="C203" s="7" t="s">
        <v>134</v>
      </c>
      <c r="D203" s="7"/>
      <c r="E203" s="7" t="s">
        <v>133</v>
      </c>
      <c r="F203" s="7" t="s">
        <v>134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2">
      <c r="A204" s="7" t="s">
        <v>81</v>
      </c>
      <c r="B204" s="7">
        <v>8.6514190000000006</v>
      </c>
      <c r="C204" s="7">
        <v>0.58043800000000001</v>
      </c>
      <c r="D204" s="7"/>
      <c r="E204" s="7">
        <v>8.7073479999999996</v>
      </c>
      <c r="F204" s="7">
        <v>0.52812999999999999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2">
      <c r="A205" s="7" t="s">
        <v>18</v>
      </c>
      <c r="B205" s="7">
        <v>211.338086</v>
      </c>
      <c r="C205" s="7">
        <v>17.374327000000001</v>
      </c>
      <c r="D205" s="7"/>
      <c r="E205" s="7">
        <v>208.186678</v>
      </c>
      <c r="F205" s="7">
        <v>18.149553000000001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2">
      <c r="A206" s="7" t="s">
        <v>20</v>
      </c>
      <c r="B206" s="7">
        <v>315.83982600000002</v>
      </c>
      <c r="C206" s="7">
        <v>25.694735999999999</v>
      </c>
      <c r="D206" s="7"/>
      <c r="E206" s="7">
        <v>311.36878999999999</v>
      </c>
      <c r="F206" s="7">
        <v>22.988439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2">
      <c r="A207" s="7" t="s">
        <v>21</v>
      </c>
      <c r="B207" s="7">
        <v>30.967804999999998</v>
      </c>
      <c r="C207" s="7">
        <v>9.4918770000000006</v>
      </c>
      <c r="D207" s="7"/>
      <c r="E207" s="7">
        <v>28.604565999999998</v>
      </c>
      <c r="F207" s="7">
        <v>7.8486739999999999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2">
      <c r="A208" s="7" t="s">
        <v>22</v>
      </c>
      <c r="B208" s="7">
        <v>8.3467199999999995</v>
      </c>
      <c r="C208" s="7">
        <v>5.8737680000000001</v>
      </c>
      <c r="D208" s="7"/>
      <c r="E208" s="7">
        <v>7.0017719999999999</v>
      </c>
      <c r="F208" s="7">
        <v>4.988003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2">
      <c r="A209" s="7" t="s">
        <v>86</v>
      </c>
      <c r="B209" s="7">
        <v>0.91251199999999999</v>
      </c>
      <c r="C209" s="7">
        <v>1.249609</v>
      </c>
      <c r="D209" s="7"/>
      <c r="E209" s="7">
        <v>1.2668429999999999</v>
      </c>
      <c r="F209" s="7">
        <v>1.3106040000000001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2">
      <c r="A210" s="7" t="s">
        <v>23</v>
      </c>
      <c r="B210" s="7">
        <v>193.57424499999999</v>
      </c>
      <c r="C210" s="7">
        <v>130.37465700000001</v>
      </c>
      <c r="D210" s="7"/>
      <c r="E210" s="7">
        <v>174.036113</v>
      </c>
      <c r="F210" s="7">
        <v>137.356549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2">
      <c r="A211" s="7" t="s">
        <v>25</v>
      </c>
      <c r="B211" s="7">
        <v>1.365963</v>
      </c>
      <c r="C211" s="7">
        <v>0.444768</v>
      </c>
      <c r="D211" s="7"/>
      <c r="E211" s="7">
        <v>1.0929850000000001</v>
      </c>
      <c r="F211" s="7">
        <v>0.563303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 t="s">
        <v>135</v>
      </c>
      <c r="L213" s="7"/>
      <c r="M213" s="7"/>
      <c r="N213" s="7" t="s">
        <v>136</v>
      </c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 t="s">
        <v>118</v>
      </c>
      <c r="L214" s="7" t="s">
        <v>118</v>
      </c>
      <c r="M214" s="7" t="s">
        <v>118</v>
      </c>
      <c r="N214" s="7" t="s">
        <v>118</v>
      </c>
      <c r="O214" s="7" t="s">
        <v>118</v>
      </c>
      <c r="P214" s="7" t="s">
        <v>118</v>
      </c>
      <c r="Q214" s="7"/>
      <c r="R214" s="7" t="s">
        <v>119</v>
      </c>
      <c r="S214" s="7" t="s">
        <v>119</v>
      </c>
      <c r="T214" s="7" t="s">
        <v>119</v>
      </c>
      <c r="U214" s="7" t="s">
        <v>119</v>
      </c>
      <c r="V214" s="7" t="s">
        <v>119</v>
      </c>
      <c r="W214" s="7" t="s">
        <v>119</v>
      </c>
      <c r="X214" s="7"/>
      <c r="Y214" s="7"/>
      <c r="Z214" s="7"/>
    </row>
    <row r="215" spans="1:26" ht="15.75" customHeight="1" x14ac:dyDescent="0.2">
      <c r="A215" s="7" t="s">
        <v>137</v>
      </c>
      <c r="B215" s="7"/>
      <c r="C215" s="7"/>
      <c r="D215" s="7"/>
      <c r="E215" s="7"/>
      <c r="F215" s="7"/>
      <c r="G215" s="7" t="s">
        <v>117</v>
      </c>
      <c r="H215" s="7"/>
      <c r="I215" s="7"/>
      <c r="J215" s="7"/>
      <c r="K215" s="7" t="s">
        <v>123</v>
      </c>
      <c r="L215" s="7" t="s">
        <v>123</v>
      </c>
      <c r="M215" s="7" t="s">
        <v>122</v>
      </c>
      <c r="N215" s="7" t="s">
        <v>122</v>
      </c>
      <c r="O215" s="7" t="s">
        <v>122</v>
      </c>
      <c r="P215" s="7" t="s">
        <v>122</v>
      </c>
      <c r="Q215" s="7"/>
      <c r="R215" s="7" t="s">
        <v>123</v>
      </c>
      <c r="S215" s="7" t="s">
        <v>123</v>
      </c>
      <c r="T215" s="7" t="s">
        <v>122</v>
      </c>
      <c r="U215" s="7" t="s">
        <v>122</v>
      </c>
      <c r="V215" s="7" t="s">
        <v>122</v>
      </c>
      <c r="W215" s="7" t="s">
        <v>122</v>
      </c>
      <c r="X215" s="7"/>
      <c r="Y215" s="7"/>
      <c r="Z215" s="7"/>
    </row>
    <row r="216" spans="1:26" ht="15.75" customHeight="1" x14ac:dyDescent="0.2">
      <c r="A216" s="7"/>
      <c r="B216" s="7" t="s">
        <v>116</v>
      </c>
      <c r="C216" s="7" t="s">
        <v>116</v>
      </c>
      <c r="D216" s="7"/>
      <c r="E216" s="7" t="s">
        <v>117</v>
      </c>
      <c r="F216" s="7" t="s">
        <v>94</v>
      </c>
      <c r="G216" s="7" t="s">
        <v>95</v>
      </c>
      <c r="H216" s="7" t="s">
        <v>138</v>
      </c>
      <c r="I216" s="7"/>
      <c r="J216" s="7" t="s">
        <v>139</v>
      </c>
      <c r="K216" s="7" t="s">
        <v>94</v>
      </c>
      <c r="L216" s="7" t="s">
        <v>95</v>
      </c>
      <c r="M216" s="7" t="s">
        <v>25</v>
      </c>
      <c r="N216" s="7" t="s">
        <v>126</v>
      </c>
      <c r="O216" s="7" t="s">
        <v>128</v>
      </c>
      <c r="P216" s="7" t="s">
        <v>129</v>
      </c>
      <c r="Q216" s="7"/>
      <c r="R216" s="7" t="s">
        <v>94</v>
      </c>
      <c r="S216" s="7" t="s">
        <v>95</v>
      </c>
      <c r="T216" s="7" t="s">
        <v>25</v>
      </c>
      <c r="U216" s="7" t="s">
        <v>126</v>
      </c>
      <c r="V216" s="7" t="s">
        <v>128</v>
      </c>
      <c r="W216" s="7" t="s">
        <v>129</v>
      </c>
      <c r="X216" s="7"/>
      <c r="Y216" s="7"/>
      <c r="Z216" s="7"/>
    </row>
    <row r="217" spans="1:26" ht="15.75" customHeight="1" x14ac:dyDescent="0.2">
      <c r="A217" s="7" t="s">
        <v>17</v>
      </c>
      <c r="B217" s="7" t="s">
        <v>118</v>
      </c>
      <c r="C217" s="7" t="s">
        <v>119</v>
      </c>
      <c r="D217" s="7"/>
      <c r="E217" s="7" t="s">
        <v>118</v>
      </c>
      <c r="F217" s="7" t="s">
        <v>119</v>
      </c>
      <c r="G217" s="7" t="s">
        <v>119</v>
      </c>
      <c r="H217" s="7" t="s">
        <v>119</v>
      </c>
      <c r="I217" s="7"/>
      <c r="J217" s="7" t="s">
        <v>140</v>
      </c>
      <c r="K217" s="110">
        <v>-0.108411656</v>
      </c>
      <c r="L217" s="110">
        <v>-0.80726502</v>
      </c>
      <c r="M217" s="110">
        <v>2.9937382000000001</v>
      </c>
      <c r="N217" s="110">
        <v>0.66825699999999999</v>
      </c>
      <c r="O217" s="110">
        <v>2.0419170000000002</v>
      </c>
      <c r="P217" s="110">
        <v>1.041177</v>
      </c>
      <c r="Q217" s="7"/>
      <c r="R217" s="110">
        <v>-0.68263669999999999</v>
      </c>
      <c r="S217" s="110">
        <v>-1.1555500000000001</v>
      </c>
      <c r="T217" s="110">
        <v>2.0148609999999998</v>
      </c>
      <c r="U217" s="110">
        <v>-0.12765000000000001</v>
      </c>
      <c r="V217" s="110">
        <v>0.56906999999999996</v>
      </c>
      <c r="W217" s="110">
        <v>-0.50722</v>
      </c>
      <c r="X217" s="7"/>
      <c r="Y217" s="7"/>
      <c r="Z217" s="7"/>
    </row>
    <row r="218" spans="1:26" ht="15.75" customHeight="1" x14ac:dyDescent="0.2">
      <c r="A218" s="7" t="s">
        <v>81</v>
      </c>
      <c r="B218" s="7">
        <v>-2.8451255775810691</v>
      </c>
      <c r="C218" s="7">
        <v>-3.2328176774657749</v>
      </c>
      <c r="D218" s="7"/>
      <c r="E218" s="7">
        <v>-2.8451255775810691</v>
      </c>
      <c r="F218" s="7">
        <v>-3.2328176774657749</v>
      </c>
      <c r="G218" s="7">
        <v>-3.2328176774657749</v>
      </c>
      <c r="H218" s="7">
        <v>-3.2328176774657749</v>
      </c>
      <c r="I218" s="7"/>
      <c r="J218" s="7" t="s">
        <v>81</v>
      </c>
      <c r="K218" s="110">
        <v>0</v>
      </c>
      <c r="L218" s="110">
        <v>0</v>
      </c>
      <c r="M218" s="110">
        <v>0</v>
      </c>
      <c r="N218" s="110">
        <v>0</v>
      </c>
      <c r="O218" s="110">
        <v>0</v>
      </c>
      <c r="P218" s="110">
        <v>0</v>
      </c>
      <c r="Q218" s="110"/>
      <c r="R218" s="110">
        <v>0</v>
      </c>
      <c r="S218" s="110">
        <v>0</v>
      </c>
      <c r="T218" s="110">
        <v>0</v>
      </c>
      <c r="U218" s="110">
        <v>0</v>
      </c>
      <c r="V218" s="110">
        <v>0</v>
      </c>
      <c r="W218" s="110">
        <v>0</v>
      </c>
      <c r="X218" s="7"/>
      <c r="Y218" s="7"/>
      <c r="Z218" s="7"/>
    </row>
    <row r="219" spans="1:26" ht="15.75" customHeight="1" x14ac:dyDescent="0.2">
      <c r="A219" s="7" t="s">
        <v>18</v>
      </c>
      <c r="B219" s="7">
        <f t="shared" ref="B219:B225" si="63">(B192-B205)/C205</f>
        <v>-7.7015126974414844E-2</v>
      </c>
      <c r="C219" s="7">
        <f t="shared" ref="C219:C225" si="64">(B192-E205)/F205</f>
        <v>9.9910008802971587E-2</v>
      </c>
      <c r="D219" s="7"/>
      <c r="E219" s="7">
        <f t="shared" ref="E219:E225" si="65">(C192-B205)/C205</f>
        <v>-7.5593193336351963</v>
      </c>
      <c r="F219" s="7">
        <f t="shared" ref="F219:F220" si="66">(C192-E205)/F205</f>
        <v>-7.0628008304116356</v>
      </c>
      <c r="G219" s="7">
        <f t="shared" ref="G219:G222" si="67">(A256-E205)/F205</f>
        <v>-1.4813961533928681</v>
      </c>
      <c r="H219" s="7">
        <f t="shared" ref="H219:H220" si="68">(C192-E205)/F205</f>
        <v>-7.0628008304116356</v>
      </c>
      <c r="I219" s="7"/>
      <c r="J219" s="7" t="s">
        <v>18</v>
      </c>
      <c r="K219" s="110">
        <v>-1.1613780000000001E-2</v>
      </c>
      <c r="L219" s="110">
        <v>5.6534359999999999E-2</v>
      </c>
      <c r="M219" s="110">
        <v>0</v>
      </c>
      <c r="N219" s="110">
        <v>0</v>
      </c>
      <c r="O219" s="110">
        <v>0</v>
      </c>
      <c r="P219" s="110">
        <v>0</v>
      </c>
      <c r="Q219" s="110"/>
      <c r="R219" s="110">
        <v>1.95233E-3</v>
      </c>
      <c r="S219" s="110">
        <v>7.6436841000000005E-2</v>
      </c>
      <c r="T219" s="110">
        <v>5.2415999999999997E-2</v>
      </c>
      <c r="U219" s="110">
        <v>5.8140999999999998E-2</v>
      </c>
      <c r="V219" s="110">
        <v>0</v>
      </c>
      <c r="W219" s="110">
        <v>8.1309999999999993E-2</v>
      </c>
      <c r="X219" s="7"/>
      <c r="Y219" s="7"/>
      <c r="Z219" s="7"/>
    </row>
    <row r="220" spans="1:26" ht="15.75" customHeight="1" x14ac:dyDescent="0.2">
      <c r="A220" s="7" t="s">
        <v>20</v>
      </c>
      <c r="B220" s="7">
        <f t="shared" si="63"/>
        <v>-0.61646190877384444</v>
      </c>
      <c r="C220" s="7">
        <f t="shared" si="64"/>
        <v>-0.49454380090792549</v>
      </c>
      <c r="D220" s="7"/>
      <c r="E220" s="7">
        <f t="shared" si="65"/>
        <v>-12.330923579055259</v>
      </c>
      <c r="F220" s="7">
        <f t="shared" si="66"/>
        <v>-13.588081817995558</v>
      </c>
      <c r="G220" s="7">
        <f t="shared" si="67"/>
        <v>-3.3176415327722079E-2</v>
      </c>
      <c r="H220" s="7">
        <f t="shared" si="68"/>
        <v>-13.588081817995558</v>
      </c>
      <c r="I220" s="7"/>
      <c r="J220" s="7" t="s">
        <v>20</v>
      </c>
      <c r="K220" s="110">
        <v>3.41764E-3</v>
      </c>
      <c r="L220" s="110">
        <v>1.7858354999999999E-2</v>
      </c>
      <c r="M220" s="110">
        <v>0</v>
      </c>
      <c r="N220" s="110">
        <v>0.16520599999999999</v>
      </c>
      <c r="O220" s="110">
        <v>0</v>
      </c>
      <c r="P220" s="110">
        <v>0</v>
      </c>
      <c r="Q220" s="110"/>
      <c r="R220" s="110">
        <v>-8.20391E-3</v>
      </c>
      <c r="S220" s="110">
        <v>3.8947849E-2</v>
      </c>
      <c r="T220" s="110">
        <v>0</v>
      </c>
      <c r="U220" s="110">
        <v>8.9543999999999999E-2</v>
      </c>
      <c r="V220" s="110">
        <v>8.1895999999999997E-2</v>
      </c>
      <c r="W220" s="110">
        <v>7.0102999999999999E-2</v>
      </c>
      <c r="X220" s="7"/>
      <c r="Y220" s="7"/>
      <c r="Z220" s="7"/>
    </row>
    <row r="221" spans="1:26" ht="15.75" customHeight="1" x14ac:dyDescent="0.2">
      <c r="A221" s="7" t="s">
        <v>21</v>
      </c>
      <c r="B221" s="7">
        <f t="shared" si="63"/>
        <v>-0.62872759518480892</v>
      </c>
      <c r="C221" s="7">
        <f t="shared" si="64"/>
        <v>-0.45925795873290171</v>
      </c>
      <c r="D221" s="7"/>
      <c r="E221" s="7">
        <f t="shared" si="65"/>
        <v>-3.2520232826447284</v>
      </c>
      <c r="F221" s="7">
        <f t="shared" ref="F221:F225" si="69">(A258-E207)/F207</f>
        <v>-3.6317683725938927</v>
      </c>
      <c r="G221" s="7">
        <f t="shared" si="67"/>
        <v>-3.6317683725938927</v>
      </c>
      <c r="H221" s="7">
        <f t="shared" ref="H221:H222" si="70">(A258-E207)/F207</f>
        <v>-3.6317683725938927</v>
      </c>
      <c r="I221" s="7"/>
      <c r="J221" s="7" t="s">
        <v>21</v>
      </c>
      <c r="K221" s="110">
        <v>5.4282909999999997E-2</v>
      </c>
      <c r="L221" s="110">
        <v>-3.8446849999999998E-2</v>
      </c>
      <c r="M221" s="110">
        <v>0.15247520000000001</v>
      </c>
      <c r="N221" s="110">
        <v>0</v>
      </c>
      <c r="O221" s="110">
        <v>-9.7540000000000002E-2</v>
      </c>
      <c r="P221" s="110">
        <v>-0.10224</v>
      </c>
      <c r="Q221" s="110"/>
      <c r="R221" s="110">
        <v>4.1543040000000002E-3</v>
      </c>
      <c r="S221" s="110">
        <v>1.368326E-3</v>
      </c>
      <c r="T221" s="110">
        <v>0.169401</v>
      </c>
      <c r="U221" s="110">
        <v>-4.8619999999999997E-2</v>
      </c>
      <c r="V221" s="110">
        <v>-7.2480000000000003E-2</v>
      </c>
      <c r="W221" s="110">
        <v>-6.6309999999999994E-2</v>
      </c>
      <c r="X221" s="7"/>
      <c r="Y221" s="7"/>
      <c r="Z221" s="7"/>
    </row>
    <row r="222" spans="1:26" ht="15.75" customHeight="1" x14ac:dyDescent="0.2">
      <c r="A222" s="7" t="s">
        <v>22</v>
      </c>
      <c r="B222" s="7">
        <f t="shared" si="63"/>
        <v>-0.39952548347159772</v>
      </c>
      <c r="C222" s="7">
        <f t="shared" si="64"/>
        <v>-0.2008362865860345</v>
      </c>
      <c r="D222" s="7"/>
      <c r="E222" s="7">
        <f t="shared" si="65"/>
        <v>-1.4210162880113753</v>
      </c>
      <c r="F222" s="7">
        <f t="shared" si="69"/>
        <v>-1.4037224917466971</v>
      </c>
      <c r="G222" s="7">
        <f t="shared" si="67"/>
        <v>-1.4037224917466971</v>
      </c>
      <c r="H222" s="7">
        <f t="shared" si="70"/>
        <v>-1.4037224917466971</v>
      </c>
      <c r="I222" s="7"/>
      <c r="J222" s="7" t="s">
        <v>22</v>
      </c>
      <c r="K222" s="110">
        <v>2.292342E-2</v>
      </c>
      <c r="L222" s="110">
        <v>-2.1005159999999998E-2</v>
      </c>
      <c r="M222" s="110">
        <v>0</v>
      </c>
      <c r="N222" s="110">
        <v>0.15070700000000001</v>
      </c>
      <c r="O222" s="110">
        <v>0</v>
      </c>
      <c r="P222" s="110">
        <v>0</v>
      </c>
      <c r="Q222" s="110"/>
      <c r="R222" s="110">
        <v>2.5949698E-2</v>
      </c>
      <c r="S222" s="110">
        <v>-6.8736999999999999E-3</v>
      </c>
      <c r="T222" s="110">
        <v>2.1579999999999998E-2</v>
      </c>
      <c r="U222" s="110">
        <v>0.135542</v>
      </c>
      <c r="V222" s="110">
        <v>0</v>
      </c>
      <c r="W222" s="110">
        <v>0</v>
      </c>
      <c r="X222" s="7"/>
      <c r="Y222" s="7"/>
      <c r="Z222" s="7"/>
    </row>
    <row r="223" spans="1:26" ht="15.75" customHeight="1" x14ac:dyDescent="0.2">
      <c r="A223" s="7" t="s">
        <v>86</v>
      </c>
      <c r="B223" s="7">
        <f t="shared" si="63"/>
        <v>0.87026261814695638</v>
      </c>
      <c r="C223" s="7">
        <f t="shared" si="64"/>
        <v>0.55940390842695431</v>
      </c>
      <c r="D223" s="7"/>
      <c r="E223" s="7">
        <f t="shared" si="65"/>
        <v>0.87026261814695638</v>
      </c>
      <c r="F223" s="7">
        <f t="shared" si="69"/>
        <v>0.55940390842695431</v>
      </c>
      <c r="G223" s="7">
        <f>(C196-E209)/F209</f>
        <v>0.55940390842695431</v>
      </c>
      <c r="H223" s="7">
        <f>(C196-E209)/F209</f>
        <v>0.55940390842695431</v>
      </c>
      <c r="I223" s="7"/>
      <c r="J223" s="7" t="s">
        <v>86</v>
      </c>
      <c r="K223" s="110">
        <v>1.4395079999999999E-2</v>
      </c>
      <c r="L223" s="110">
        <v>-2.7356559999999999E-2</v>
      </c>
      <c r="M223" s="110">
        <v>-3.4762000000000001E-2</v>
      </c>
      <c r="N223" s="110">
        <v>0</v>
      </c>
      <c r="O223" s="110">
        <v>0.15329100000000001</v>
      </c>
      <c r="P223" s="110">
        <v>0</v>
      </c>
      <c r="Q223" s="110"/>
      <c r="R223" s="110">
        <v>-8.9918789999999995E-3</v>
      </c>
      <c r="S223" s="110">
        <v>-1.035001E-2</v>
      </c>
      <c r="T223" s="110">
        <v>2.2391999999999999E-2</v>
      </c>
      <c r="U223" s="110">
        <v>0</v>
      </c>
      <c r="V223" s="110">
        <v>7.3394000000000001E-2</v>
      </c>
      <c r="W223" s="110">
        <v>8.4501000000000007E-2</v>
      </c>
      <c r="X223" s="7"/>
      <c r="Y223" s="7"/>
      <c r="Z223" s="7"/>
    </row>
    <row r="224" spans="1:26" ht="15.75" customHeight="1" x14ac:dyDescent="0.2">
      <c r="A224" s="7" t="s">
        <v>23</v>
      </c>
      <c r="B224" s="7">
        <f t="shared" si="63"/>
        <v>-1.1779455343073306</v>
      </c>
      <c r="C224" s="7">
        <f t="shared" si="64"/>
        <v>-0.97582615445587528</v>
      </c>
      <c r="D224" s="7"/>
      <c r="E224" s="7">
        <f t="shared" si="65"/>
        <v>-1.4770834258072101</v>
      </c>
      <c r="F224" s="7">
        <f t="shared" si="69"/>
        <v>-1.2597587392793335</v>
      </c>
      <c r="G224" s="7">
        <f t="shared" ref="G224:G225" si="71">(A261-E210)/F210</f>
        <v>-1.2597587392793335</v>
      </c>
      <c r="H224" s="7">
        <f t="shared" ref="H224:H225" si="72">(A261-E210)/F210</f>
        <v>-1.2597587392793335</v>
      </c>
      <c r="I224" s="7"/>
      <c r="J224" s="7" t="s">
        <v>23</v>
      </c>
      <c r="K224" s="110">
        <v>1.785987E-2</v>
      </c>
      <c r="L224" s="110">
        <v>1.9335750000000001E-3</v>
      </c>
      <c r="M224" s="110">
        <v>7.2314100000000006E-2</v>
      </c>
      <c r="N224" s="110">
        <v>0</v>
      </c>
      <c r="O224" s="110">
        <v>-0.18010999999999999</v>
      </c>
      <c r="P224" s="110">
        <v>0</v>
      </c>
      <c r="Q224" s="110"/>
      <c r="R224" s="110">
        <v>5.0086115E-2</v>
      </c>
      <c r="S224" s="110">
        <v>0.11690368199999999</v>
      </c>
      <c r="T224" s="110">
        <v>0.140432</v>
      </c>
      <c r="U224" s="110">
        <v>6.0077999999999999E-2</v>
      </c>
      <c r="V224" s="110">
        <v>-4.4720000000000003E-2</v>
      </c>
      <c r="W224" s="110">
        <v>0</v>
      </c>
      <c r="X224" s="7"/>
      <c r="Y224" s="7"/>
      <c r="Z224" s="7"/>
    </row>
    <row r="225" spans="1:26" ht="15.75" customHeight="1" x14ac:dyDescent="0.2">
      <c r="A225" s="7" t="s">
        <v>25</v>
      </c>
      <c r="B225" s="7">
        <f t="shared" si="63"/>
        <v>-0.82281773868623653</v>
      </c>
      <c r="C225" s="7">
        <f t="shared" si="64"/>
        <v>-0.16507101861697895</v>
      </c>
      <c r="D225" s="7"/>
      <c r="E225" s="7">
        <f t="shared" si="65"/>
        <v>-3.0711809302827544</v>
      </c>
      <c r="F225" s="7">
        <f t="shared" si="69"/>
        <v>-1.9403145376467019</v>
      </c>
      <c r="G225" s="7">
        <f t="shared" si="71"/>
        <v>-1.9403145376467019</v>
      </c>
      <c r="H225" s="7">
        <f t="shared" si="72"/>
        <v>-1.9403145376467019</v>
      </c>
      <c r="I225" s="7"/>
      <c r="J225" s="7" t="s">
        <v>25</v>
      </c>
      <c r="K225" s="110">
        <v>0</v>
      </c>
      <c r="L225" s="110">
        <v>0</v>
      </c>
      <c r="M225" s="110">
        <v>0.12359489999999999</v>
      </c>
      <c r="N225" s="110">
        <v>0</v>
      </c>
      <c r="O225" s="110">
        <v>0</v>
      </c>
      <c r="P225" s="110">
        <v>0</v>
      </c>
      <c r="Q225" s="110"/>
      <c r="R225" s="110">
        <v>0</v>
      </c>
      <c r="S225" s="110">
        <v>0</v>
      </c>
      <c r="T225" s="110">
        <v>0.145341</v>
      </c>
      <c r="U225" s="110">
        <v>0</v>
      </c>
      <c r="V225" s="110">
        <v>0</v>
      </c>
      <c r="W225" s="110">
        <v>0</v>
      </c>
      <c r="X225" s="7"/>
      <c r="Y225" s="7"/>
      <c r="Z225" s="7"/>
    </row>
    <row r="226" spans="1:26" ht="15.75" customHeight="1" x14ac:dyDescent="0.2">
      <c r="A226" s="7" t="s">
        <v>141</v>
      </c>
      <c r="B226" s="7">
        <f t="shared" ref="B226:C226" si="73">(B218*B218)</f>
        <v>8.0947395522060113</v>
      </c>
      <c r="C226" s="7">
        <f t="shared" si="73"/>
        <v>10.451110135735206</v>
      </c>
      <c r="D226" s="7"/>
      <c r="E226" s="7">
        <f t="shared" ref="E226:H226" si="74">(E218*E218)</f>
        <v>8.0947395522060113</v>
      </c>
      <c r="F226" s="7">
        <f t="shared" si="74"/>
        <v>10.451110135735206</v>
      </c>
      <c r="G226" s="7">
        <f t="shared" si="74"/>
        <v>10.451110135735206</v>
      </c>
      <c r="H226" s="7">
        <f t="shared" si="74"/>
        <v>10.451110135735206</v>
      </c>
      <c r="I226" s="7"/>
      <c r="J226" s="7" t="s">
        <v>141</v>
      </c>
      <c r="K226" s="110">
        <v>0</v>
      </c>
      <c r="L226" s="110">
        <v>0</v>
      </c>
      <c r="M226" s="110">
        <v>0</v>
      </c>
      <c r="N226" s="110">
        <v>0</v>
      </c>
      <c r="O226" s="110">
        <v>0</v>
      </c>
      <c r="P226" s="110">
        <v>0</v>
      </c>
      <c r="Q226" s="110"/>
      <c r="R226" s="110">
        <v>0</v>
      </c>
      <c r="S226" s="110">
        <v>0</v>
      </c>
      <c r="T226" s="110">
        <v>0</v>
      </c>
      <c r="U226" s="110">
        <v>0</v>
      </c>
      <c r="V226" s="110">
        <v>0</v>
      </c>
      <c r="W226" s="110">
        <v>0</v>
      </c>
      <c r="X226" s="7"/>
      <c r="Y226" s="7"/>
      <c r="Z226" s="7"/>
    </row>
    <row r="227" spans="1:26" ht="15.75" customHeight="1" x14ac:dyDescent="0.2">
      <c r="A227" s="7" t="s">
        <v>142</v>
      </c>
      <c r="B227" s="7">
        <f t="shared" ref="B227:C227" si="75">(B218*B219)</f>
        <v>0.2191177076155614</v>
      </c>
      <c r="C227" s="7">
        <f t="shared" si="75"/>
        <v>-0.32299084261400773</v>
      </c>
      <c r="D227" s="7"/>
      <c r="E227" s="7">
        <f t="shared" ref="E227:H227" si="76">(E218*E219)</f>
        <v>21.507212785228582</v>
      </c>
      <c r="F227" s="7">
        <f t="shared" si="76"/>
        <v>22.832747376974691</v>
      </c>
      <c r="G227" s="7">
        <f t="shared" si="76"/>
        <v>4.7890836720182648</v>
      </c>
      <c r="H227" s="7">
        <f t="shared" si="76"/>
        <v>22.832747376974691</v>
      </c>
      <c r="I227" s="7"/>
      <c r="J227" s="7" t="s">
        <v>142</v>
      </c>
      <c r="K227" s="110">
        <v>0</v>
      </c>
      <c r="L227" s="110">
        <v>0</v>
      </c>
      <c r="M227" s="110">
        <v>0</v>
      </c>
      <c r="N227" s="110">
        <v>0</v>
      </c>
      <c r="O227" s="110">
        <v>0</v>
      </c>
      <c r="P227" s="110">
        <v>0</v>
      </c>
      <c r="Q227" s="110"/>
      <c r="R227" s="110">
        <v>0</v>
      </c>
      <c r="S227" s="110">
        <v>0</v>
      </c>
      <c r="T227" s="110">
        <v>0</v>
      </c>
      <c r="U227" s="110">
        <v>0</v>
      </c>
      <c r="V227" s="110">
        <v>0</v>
      </c>
      <c r="W227" s="110">
        <v>0</v>
      </c>
      <c r="X227" s="7"/>
      <c r="Y227" s="7"/>
      <c r="Z227" s="7"/>
    </row>
    <row r="228" spans="1:26" ht="15.75" customHeight="1" x14ac:dyDescent="0.2">
      <c r="A228" s="7" t="s">
        <v>143</v>
      </c>
      <c r="B228" s="7">
        <f t="shared" ref="B228:C228" si="77">(B218*B223)</f>
        <v>-2.4760064341025725</v>
      </c>
      <c r="C228" s="7">
        <f t="shared" si="77"/>
        <v>-1.8084508440061033</v>
      </c>
      <c r="D228" s="7"/>
      <c r="E228" s="7">
        <f t="shared" ref="E228:H228" si="78">(E218*E223)</f>
        <v>-2.4760064341025725</v>
      </c>
      <c r="F228" s="7">
        <f t="shared" si="78"/>
        <v>-1.8084508440061033</v>
      </c>
      <c r="G228" s="7">
        <f t="shared" si="78"/>
        <v>-1.8084508440061033</v>
      </c>
      <c r="H228" s="7">
        <f t="shared" si="78"/>
        <v>-1.8084508440061033</v>
      </c>
      <c r="I228" s="7"/>
      <c r="J228" s="7" t="s">
        <v>143</v>
      </c>
      <c r="K228" s="110">
        <v>0</v>
      </c>
      <c r="L228" s="110">
        <v>0</v>
      </c>
      <c r="M228" s="110">
        <v>0</v>
      </c>
      <c r="N228" s="110">
        <v>0</v>
      </c>
      <c r="O228" s="110">
        <v>0</v>
      </c>
      <c r="P228" s="110">
        <v>0</v>
      </c>
      <c r="Q228" s="110"/>
      <c r="R228" s="110">
        <v>0</v>
      </c>
      <c r="S228" s="110">
        <v>0</v>
      </c>
      <c r="T228" s="110">
        <v>0</v>
      </c>
      <c r="U228" s="110">
        <v>0</v>
      </c>
      <c r="V228" s="110">
        <v>0</v>
      </c>
      <c r="W228" s="110">
        <v>0</v>
      </c>
      <c r="X228" s="7"/>
      <c r="Y228" s="7"/>
      <c r="Z228" s="7"/>
    </row>
    <row r="229" spans="1:26" ht="15.75" customHeight="1" x14ac:dyDescent="0.2">
      <c r="A229" s="7" t="s">
        <v>144</v>
      </c>
      <c r="B229" s="7">
        <f t="shared" ref="B229:C229" si="79">(B219*B219)</f>
        <v>5.931329782885241E-3</v>
      </c>
      <c r="C229" s="7">
        <f t="shared" si="79"/>
        <v>9.9820098590098598E-3</v>
      </c>
      <c r="D229" s="7"/>
      <c r="E229" s="7">
        <f t="shared" ref="E229:H229" si="80">(E219*E219)</f>
        <v>57.143308787870865</v>
      </c>
      <c r="F229" s="7">
        <f t="shared" si="80"/>
        <v>49.883155570063288</v>
      </c>
      <c r="G229" s="7">
        <f t="shared" si="80"/>
        <v>2.1945345632871862</v>
      </c>
      <c r="H229" s="7">
        <f t="shared" si="80"/>
        <v>49.883155570063288</v>
      </c>
      <c r="I229" s="7"/>
      <c r="J229" s="7" t="s">
        <v>144</v>
      </c>
      <c r="K229" s="110">
        <v>0</v>
      </c>
      <c r="L229" s="110">
        <v>0</v>
      </c>
      <c r="M229" s="110">
        <v>0</v>
      </c>
      <c r="N229" s="110">
        <v>0</v>
      </c>
      <c r="O229" s="110">
        <v>0</v>
      </c>
      <c r="P229" s="110">
        <v>0</v>
      </c>
      <c r="Q229" s="110"/>
      <c r="R229" s="110">
        <v>0</v>
      </c>
      <c r="S229" s="110">
        <v>2.5807976999999999E-2</v>
      </c>
      <c r="T229" s="110">
        <v>0</v>
      </c>
      <c r="U229" s="110">
        <v>0</v>
      </c>
      <c r="V229" s="110">
        <v>0</v>
      </c>
      <c r="W229" s="110">
        <v>0</v>
      </c>
      <c r="X229" s="7"/>
      <c r="Y229" s="7"/>
      <c r="Z229" s="7"/>
    </row>
    <row r="230" spans="1:26" ht="15.75" customHeight="1" x14ac:dyDescent="0.2">
      <c r="A230" s="7" t="s">
        <v>145</v>
      </c>
      <c r="B230" s="7">
        <f t="shared" ref="B230:C230" si="81">(B219*B220)</f>
        <v>4.747689217910777E-2</v>
      </c>
      <c r="C230" s="7">
        <f t="shared" si="81"/>
        <v>-4.9409875502165863E-2</v>
      </c>
      <c r="D230" s="7"/>
      <c r="E230" s="7">
        <f t="shared" ref="E230:H230" si="82">(E219*E220)</f>
        <v>93.213389012730531</v>
      </c>
      <c r="F230" s="7">
        <f t="shared" si="82"/>
        <v>95.969915547840273</v>
      </c>
      <c r="G230" s="7">
        <f t="shared" si="82"/>
        <v>4.9147414049851679E-2</v>
      </c>
      <c r="H230" s="7">
        <f t="shared" si="82"/>
        <v>95.969915547840273</v>
      </c>
      <c r="I230" s="7"/>
      <c r="J230" s="7" t="s">
        <v>145</v>
      </c>
      <c r="K230" s="110">
        <v>8.5768200000000006E-3</v>
      </c>
      <c r="L230" s="110">
        <v>0</v>
      </c>
      <c r="M230" s="110">
        <v>0</v>
      </c>
      <c r="N230" s="110">
        <v>0</v>
      </c>
      <c r="O230" s="110">
        <v>0</v>
      </c>
      <c r="P230" s="110">
        <v>0</v>
      </c>
      <c r="Q230" s="110"/>
      <c r="R230" s="110">
        <v>0</v>
      </c>
      <c r="S230" s="110">
        <v>0</v>
      </c>
      <c r="T230" s="110">
        <v>0</v>
      </c>
      <c r="U230" s="110">
        <v>0</v>
      </c>
      <c r="V230" s="110">
        <v>0</v>
      </c>
      <c r="W230" s="110">
        <v>0</v>
      </c>
      <c r="X230" s="7"/>
      <c r="Y230" s="7"/>
      <c r="Z230" s="7"/>
    </row>
    <row r="231" spans="1:26" ht="15.75" customHeight="1" x14ac:dyDescent="0.2">
      <c r="A231" s="7" t="s">
        <v>146</v>
      </c>
      <c r="B231" s="7">
        <f t="shared" ref="B231:C231" si="83">(B219*B223)</f>
        <v>-6.7023386037674548E-2</v>
      </c>
      <c r="C231" s="7">
        <f t="shared" si="83"/>
        <v>5.5890049415353714E-2</v>
      </c>
      <c r="D231" s="7"/>
      <c r="E231" s="7">
        <f t="shared" ref="E231:H231" si="84">(E219*E223)</f>
        <v>-6.5785930346982715</v>
      </c>
      <c r="F231" s="7">
        <f t="shared" si="84"/>
        <v>-3.9509583889734077</v>
      </c>
      <c r="G231" s="7">
        <f t="shared" si="84"/>
        <v>-0.82869879813662639</v>
      </c>
      <c r="H231" s="7">
        <f t="shared" si="84"/>
        <v>-3.9509583889734077</v>
      </c>
      <c r="I231" s="7"/>
      <c r="J231" s="7" t="s">
        <v>146</v>
      </c>
      <c r="K231" s="110">
        <v>0</v>
      </c>
      <c r="L231" s="110">
        <v>0</v>
      </c>
      <c r="M231" s="110">
        <v>0</v>
      </c>
      <c r="N231" s="110">
        <v>0</v>
      </c>
      <c r="O231" s="110">
        <v>0</v>
      </c>
      <c r="P231" s="110">
        <v>0</v>
      </c>
      <c r="Q231" s="110"/>
      <c r="R231" s="110">
        <v>0</v>
      </c>
      <c r="S231" s="110">
        <v>0</v>
      </c>
      <c r="T231" s="110">
        <v>0</v>
      </c>
      <c r="U231" s="110">
        <v>0</v>
      </c>
      <c r="V231" s="110">
        <v>0</v>
      </c>
      <c r="W231" s="110">
        <v>0</v>
      </c>
      <c r="X231" s="7"/>
      <c r="Y231" s="7"/>
      <c r="Z231" s="7"/>
    </row>
    <row r="232" spans="1:26" ht="15.75" customHeight="1" x14ac:dyDescent="0.2">
      <c r="A232" s="7" t="s">
        <v>147</v>
      </c>
      <c r="B232" s="7">
        <f t="shared" ref="B232:C232" si="85">(B220*B220)</f>
        <v>0.38002528496909171</v>
      </c>
      <c r="C232" s="7">
        <f t="shared" si="85"/>
        <v>0.24457357101645785</v>
      </c>
      <c r="D232" s="7"/>
      <c r="E232" s="7">
        <f t="shared" ref="E232:H232" si="86">(E220*E220)</f>
        <v>152.05167631250097</v>
      </c>
      <c r="F232" s="7">
        <f t="shared" si="86"/>
        <v>184.63596749254148</v>
      </c>
      <c r="G232" s="7">
        <f t="shared" si="86"/>
        <v>1.1006745339975125E-3</v>
      </c>
      <c r="H232" s="7">
        <f t="shared" si="86"/>
        <v>184.63596749254148</v>
      </c>
      <c r="I232" s="7"/>
      <c r="J232" s="7" t="s">
        <v>147</v>
      </c>
      <c r="K232" s="110">
        <v>0</v>
      </c>
      <c r="L232" s="110">
        <v>0</v>
      </c>
      <c r="M232" s="110">
        <v>0</v>
      </c>
      <c r="N232" s="110">
        <v>0</v>
      </c>
      <c r="O232" s="110">
        <v>0</v>
      </c>
      <c r="P232" s="110">
        <v>0</v>
      </c>
      <c r="Q232" s="110"/>
      <c r="R232" s="110">
        <v>0</v>
      </c>
      <c r="S232" s="110">
        <v>1.8209586E-2</v>
      </c>
      <c r="T232" s="110">
        <v>0</v>
      </c>
      <c r="U232" s="110">
        <v>0</v>
      </c>
      <c r="V232" s="110">
        <v>0</v>
      </c>
      <c r="W232" s="110">
        <v>0</v>
      </c>
      <c r="X232" s="7"/>
      <c r="Y232" s="7"/>
      <c r="Z232" s="7"/>
    </row>
    <row r="233" spans="1:26" ht="15.75" customHeight="1" x14ac:dyDescent="0.2">
      <c r="A233" s="7" t="s">
        <v>148</v>
      </c>
      <c r="B233" s="7">
        <f t="shared" ref="B233:C233" si="87">(B220*B223)</f>
        <v>-0.53648375471739607</v>
      </c>
      <c r="C233" s="7">
        <f t="shared" si="87"/>
        <v>-0.2766497351162151</v>
      </c>
      <c r="D233" s="7"/>
      <c r="E233" s="7">
        <f t="shared" ref="E233:H233" si="88">(E220*E223)</f>
        <v>-10.731141838078667</v>
      </c>
      <c r="F233" s="7">
        <f t="shared" si="88"/>
        <v>-7.6012260770119502</v>
      </c>
      <c r="G233" s="7">
        <f t="shared" si="88"/>
        <v>-1.8559016401923645E-2</v>
      </c>
      <c r="H233" s="7">
        <f t="shared" si="88"/>
        <v>-7.6012260770119502</v>
      </c>
      <c r="I233" s="7"/>
      <c r="J233" s="7" t="s">
        <v>148</v>
      </c>
      <c r="K233" s="110">
        <v>0</v>
      </c>
      <c r="L233" s="110">
        <v>0</v>
      </c>
      <c r="M233" s="110">
        <v>0</v>
      </c>
      <c r="N233" s="110">
        <v>0</v>
      </c>
      <c r="O233" s="110">
        <v>0</v>
      </c>
      <c r="P233" s="110">
        <v>0</v>
      </c>
      <c r="Q233" s="110"/>
      <c r="R233" s="110">
        <v>0</v>
      </c>
      <c r="S233" s="110">
        <v>1.5107193E-2</v>
      </c>
      <c r="T233" s="110">
        <v>0</v>
      </c>
      <c r="U233" s="110">
        <v>0</v>
      </c>
      <c r="V233" s="110">
        <v>0</v>
      </c>
      <c r="W233" s="110">
        <v>0</v>
      </c>
      <c r="X233" s="7"/>
      <c r="Y233" s="7"/>
      <c r="Z233" s="7"/>
    </row>
    <row r="234" spans="1:26" ht="15.75" customHeight="1" x14ac:dyDescent="0.2">
      <c r="A234" s="7" t="s">
        <v>149</v>
      </c>
      <c r="B234" s="7">
        <f t="shared" ref="B234:C234" si="89">(B220*B224)</f>
        <v>0.72615855251072314</v>
      </c>
      <c r="C234" s="7">
        <f t="shared" si="89"/>
        <v>0.48258877544997292</v>
      </c>
      <c r="D234" s="7"/>
      <c r="E234" s="7">
        <f t="shared" ref="E234:H234" si="90">(E220*E224)</f>
        <v>18.213802843517847</v>
      </c>
      <c r="F234" s="7">
        <f t="shared" si="90"/>
        <v>17.117704820262517</v>
      </c>
      <c r="G234" s="7">
        <f t="shared" si="90"/>
        <v>4.1794279147058723E-2</v>
      </c>
      <c r="H234" s="7">
        <f t="shared" si="90"/>
        <v>17.117704820262517</v>
      </c>
      <c r="I234" s="7"/>
      <c r="J234" s="7" t="s">
        <v>149</v>
      </c>
      <c r="K234" s="110">
        <v>0</v>
      </c>
      <c r="L234" s="110">
        <v>0</v>
      </c>
      <c r="M234" s="110">
        <v>0</v>
      </c>
      <c r="N234" s="110">
        <v>0</v>
      </c>
      <c r="O234" s="110">
        <v>0</v>
      </c>
      <c r="P234" s="110">
        <v>0</v>
      </c>
      <c r="Q234" s="110"/>
      <c r="R234" s="110">
        <v>0</v>
      </c>
      <c r="S234" s="110">
        <v>0</v>
      </c>
      <c r="T234" s="110">
        <v>0</v>
      </c>
      <c r="U234" s="110">
        <v>0</v>
      </c>
      <c r="V234" s="110">
        <v>0</v>
      </c>
      <c r="W234" s="110">
        <v>0</v>
      </c>
      <c r="X234" s="7"/>
      <c r="Y234" s="7"/>
      <c r="Z234" s="7"/>
    </row>
    <row r="235" spans="1:26" ht="15.75" customHeight="1" x14ac:dyDescent="0.2">
      <c r="A235" s="7" t="s">
        <v>150</v>
      </c>
      <c r="B235" s="7">
        <f t="shared" ref="B235:C235" si="91">(B220*B221)</f>
        <v>0.38758661342641626</v>
      </c>
      <c r="C235" s="7">
        <f t="shared" si="91"/>
        <v>0.22712317650898439</v>
      </c>
      <c r="D235" s="7"/>
      <c r="E235" s="7">
        <f t="shared" ref="E235:H235" si="92">(E220*E221)</f>
        <v>40.100450575600568</v>
      </c>
      <c r="F235" s="7">
        <f t="shared" si="92"/>
        <v>49.34876579081439</v>
      </c>
      <c r="G235" s="7">
        <f t="shared" si="92"/>
        <v>0.1204890559032603</v>
      </c>
      <c r="H235" s="7">
        <f t="shared" si="92"/>
        <v>49.34876579081439</v>
      </c>
      <c r="I235" s="7"/>
      <c r="J235" s="7" t="s">
        <v>150</v>
      </c>
      <c r="K235" s="110">
        <v>-9.7818000000000002E-3</v>
      </c>
      <c r="L235" s="110">
        <v>1.8225949000000002E-2</v>
      </c>
      <c r="M235" s="110">
        <v>0</v>
      </c>
      <c r="N235" s="110">
        <v>0</v>
      </c>
      <c r="O235" s="110">
        <v>0</v>
      </c>
      <c r="P235" s="110">
        <v>0</v>
      </c>
      <c r="Q235" s="110"/>
      <c r="R235" s="110">
        <v>0</v>
      </c>
      <c r="S235" s="110">
        <v>1.2076013E-2</v>
      </c>
      <c r="T235" s="110">
        <v>0</v>
      </c>
      <c r="U235" s="110">
        <v>0</v>
      </c>
      <c r="V235" s="110">
        <v>0</v>
      </c>
      <c r="W235" s="110">
        <v>0</v>
      </c>
      <c r="X235" s="7"/>
      <c r="Y235" s="7"/>
      <c r="Z235" s="7"/>
    </row>
    <row r="236" spans="1:26" ht="15.75" customHeight="1" x14ac:dyDescent="0.2">
      <c r="A236" s="7" t="s">
        <v>151</v>
      </c>
      <c r="B236" s="7">
        <f t="shared" ref="B236:C236" si="93">(B221*B221)</f>
        <v>0.39529838894687297</v>
      </c>
      <c r="C236" s="7">
        <f t="shared" si="93"/>
        <v>0.21091787265951165</v>
      </c>
      <c r="D236" s="7"/>
      <c r="E236" s="7">
        <f t="shared" ref="E236:H236" si="94">(E221*E221)</f>
        <v>10.575655430863396</v>
      </c>
      <c r="F236" s="7">
        <f t="shared" si="94"/>
        <v>13.189741512173292</v>
      </c>
      <c r="G236" s="7">
        <f t="shared" si="94"/>
        <v>13.189741512173292</v>
      </c>
      <c r="H236" s="7">
        <f t="shared" si="94"/>
        <v>13.189741512173292</v>
      </c>
      <c r="I236" s="7"/>
      <c r="J236" s="7" t="s">
        <v>151</v>
      </c>
      <c r="K236" s="110">
        <v>0</v>
      </c>
      <c r="L236" s="110">
        <v>0</v>
      </c>
      <c r="M236" s="110">
        <v>0</v>
      </c>
      <c r="N236" s="110">
        <v>0</v>
      </c>
      <c r="O236" s="110">
        <v>0</v>
      </c>
      <c r="P236" s="110">
        <v>0</v>
      </c>
      <c r="Q236" s="110"/>
      <c r="R236" s="110">
        <v>0</v>
      </c>
      <c r="S236" s="110">
        <v>-1.197286E-2</v>
      </c>
      <c r="T236" s="110">
        <v>0</v>
      </c>
      <c r="U236" s="110">
        <v>0</v>
      </c>
      <c r="V236" s="110">
        <v>0</v>
      </c>
      <c r="W236" s="110">
        <v>0</v>
      </c>
      <c r="X236" s="7"/>
      <c r="Y236" s="7"/>
      <c r="Z236" s="7"/>
    </row>
    <row r="237" spans="1:26" ht="15.75" customHeight="1" x14ac:dyDescent="0.2">
      <c r="A237" s="7" t="s">
        <v>152</v>
      </c>
      <c r="B237" s="7">
        <f t="shared" ref="B237:C237" si="95">(B221*B222)</f>
        <v>0.25119269643814574</v>
      </c>
      <c r="C237" s="7">
        <f t="shared" si="95"/>
        <v>9.2235663016998259E-2</v>
      </c>
      <c r="D237" s="7"/>
      <c r="E237" s="7">
        <f t="shared" ref="E237:H237" si="96">(E221*E222)</f>
        <v>4.6211780536303797</v>
      </c>
      <c r="F237" s="7">
        <f t="shared" si="96"/>
        <v>5.0979949494243462</v>
      </c>
      <c r="G237" s="7">
        <f t="shared" si="96"/>
        <v>5.0979949494243462</v>
      </c>
      <c r="H237" s="7">
        <f t="shared" si="96"/>
        <v>5.0979949494243462</v>
      </c>
      <c r="I237" s="7"/>
      <c r="J237" s="7" t="s">
        <v>152</v>
      </c>
      <c r="K237" s="110">
        <v>0</v>
      </c>
      <c r="L237" s="110">
        <v>0</v>
      </c>
      <c r="M237" s="110">
        <v>0</v>
      </c>
      <c r="N237" s="110">
        <v>0</v>
      </c>
      <c r="O237" s="110">
        <v>0</v>
      </c>
      <c r="P237" s="110">
        <v>0</v>
      </c>
      <c r="Q237" s="110"/>
      <c r="R237" s="110">
        <v>0</v>
      </c>
      <c r="S237" s="110">
        <v>0</v>
      </c>
      <c r="T237" s="110">
        <v>0</v>
      </c>
      <c r="U237" s="110">
        <v>0</v>
      </c>
      <c r="V237" s="110">
        <v>0</v>
      </c>
      <c r="W237" s="110">
        <v>0</v>
      </c>
      <c r="X237" s="7"/>
      <c r="Y237" s="7"/>
      <c r="Z237" s="7"/>
    </row>
    <row r="238" spans="1:26" ht="15.75" customHeight="1" x14ac:dyDescent="0.2">
      <c r="A238" s="7" t="s">
        <v>153</v>
      </c>
      <c r="B238" s="7">
        <f t="shared" ref="B238:C238" si="97">(B221*B223)</f>
        <v>-0.54715812308677159</v>
      </c>
      <c r="C238" s="7">
        <f t="shared" si="97"/>
        <v>-0.2569106970913701</v>
      </c>
      <c r="D238" s="7"/>
      <c r="E238" s="7">
        <f t="shared" ref="E238:H238" si="98">(E221*E223)</f>
        <v>-2.8301142962292607</v>
      </c>
      <c r="F238" s="7">
        <f t="shared" si="98"/>
        <v>-2.0316254221304231</v>
      </c>
      <c r="G238" s="7">
        <f t="shared" si="98"/>
        <v>-2.0316254221304231</v>
      </c>
      <c r="H238" s="7">
        <f t="shared" si="98"/>
        <v>-2.0316254221304231</v>
      </c>
      <c r="I238" s="7"/>
      <c r="J238" s="7" t="s">
        <v>153</v>
      </c>
      <c r="K238" s="110">
        <v>0</v>
      </c>
      <c r="L238" s="110">
        <v>0</v>
      </c>
      <c r="M238" s="110">
        <v>0</v>
      </c>
      <c r="N238" s="110">
        <v>0</v>
      </c>
      <c r="O238" s="110">
        <v>0</v>
      </c>
      <c r="P238" s="110">
        <v>0</v>
      </c>
      <c r="Q238" s="110"/>
      <c r="R238" s="110">
        <v>-5.7937900000000001E-3</v>
      </c>
      <c r="S238" s="110">
        <v>0</v>
      </c>
      <c r="T238" s="110">
        <v>0</v>
      </c>
      <c r="U238" s="110">
        <v>0</v>
      </c>
      <c r="V238" s="110">
        <v>0</v>
      </c>
      <c r="W238" s="110">
        <v>0</v>
      </c>
      <c r="X238" s="7"/>
      <c r="Y238" s="7"/>
      <c r="Z238" s="7"/>
    </row>
    <row r="239" spans="1:26" ht="15.75" customHeight="1" x14ac:dyDescent="0.2">
      <c r="A239" s="7" t="s">
        <v>154</v>
      </c>
      <c r="B239" s="7">
        <f t="shared" ref="B239:C239" si="99">(B221*B224)</f>
        <v>0.7406068630437328</v>
      </c>
      <c r="C239" s="7">
        <f t="shared" si="99"/>
        <v>0.44815592777358254</v>
      </c>
      <c r="D239" s="7"/>
      <c r="E239" s="7">
        <f t="shared" ref="E239:H239" si="100">(E221*E224)</f>
        <v>4.8035096911336845</v>
      </c>
      <c r="F239" s="7">
        <f t="shared" si="100"/>
        <v>4.5751519464134391</v>
      </c>
      <c r="G239" s="7">
        <f t="shared" si="100"/>
        <v>4.5751519464134391</v>
      </c>
      <c r="H239" s="7">
        <f t="shared" si="100"/>
        <v>4.5751519464134391</v>
      </c>
      <c r="I239" s="7"/>
      <c r="J239" s="7" t="s">
        <v>154</v>
      </c>
      <c r="K239" s="110">
        <v>0</v>
      </c>
      <c r="L239" s="110">
        <v>-4.0537169999999997E-2</v>
      </c>
      <c r="M239" s="110">
        <v>0</v>
      </c>
      <c r="N239" s="110">
        <v>0</v>
      </c>
      <c r="O239" s="110">
        <v>0</v>
      </c>
      <c r="P239" s="110">
        <v>0</v>
      </c>
      <c r="Q239" s="110"/>
      <c r="R239" s="110">
        <v>0</v>
      </c>
      <c r="S239" s="110">
        <v>0</v>
      </c>
      <c r="T239" s="110">
        <v>0</v>
      </c>
      <c r="U239" s="110">
        <v>0</v>
      </c>
      <c r="V239" s="110">
        <v>0</v>
      </c>
      <c r="W239" s="110">
        <v>0</v>
      </c>
      <c r="X239" s="7"/>
      <c r="Y239" s="7"/>
      <c r="Z239" s="7"/>
    </row>
    <row r="240" spans="1:26" ht="15.75" customHeight="1" x14ac:dyDescent="0.2">
      <c r="A240" s="7" t="s">
        <v>155</v>
      </c>
      <c r="B240" s="7">
        <f t="shared" ref="B240:C240" si="101">(B222*B220)</f>
        <v>0.24629224214469417</v>
      </c>
      <c r="C240" s="7">
        <f t="shared" si="101"/>
        <v>9.9322340528490913E-2</v>
      </c>
      <c r="D240" s="7"/>
      <c r="E240" s="7">
        <f t="shared" ref="E240:H240" si="102">(E222*E220)</f>
        <v>17.522443252061045</v>
      </c>
      <c r="F240" s="7">
        <f t="shared" si="102"/>
        <v>19.073896067614715</v>
      </c>
      <c r="G240" s="7">
        <f t="shared" si="102"/>
        <v>4.6570480391053347E-2</v>
      </c>
      <c r="H240" s="7">
        <f t="shared" si="102"/>
        <v>19.073896067614715</v>
      </c>
      <c r="I240" s="7"/>
      <c r="J240" s="7" t="s">
        <v>155</v>
      </c>
      <c r="K240" s="110">
        <v>0</v>
      </c>
      <c r="L240" s="110">
        <v>0</v>
      </c>
      <c r="M240" s="110">
        <v>0</v>
      </c>
      <c r="N240" s="110">
        <v>0</v>
      </c>
      <c r="O240" s="110">
        <v>0</v>
      </c>
      <c r="P240" s="110">
        <v>0</v>
      </c>
      <c r="Q240" s="110"/>
      <c r="R240" s="110">
        <v>0</v>
      </c>
      <c r="S240" s="110">
        <v>0</v>
      </c>
      <c r="T240" s="110">
        <v>0</v>
      </c>
      <c r="U240" s="110">
        <v>0</v>
      </c>
      <c r="V240" s="110">
        <v>0</v>
      </c>
      <c r="W240" s="110">
        <v>0</v>
      </c>
      <c r="X240" s="7"/>
      <c r="Y240" s="7"/>
      <c r="Z240" s="7"/>
    </row>
    <row r="241" spans="1:26" ht="15.75" customHeight="1" x14ac:dyDescent="0.2">
      <c r="A241" s="7" t="s">
        <v>156</v>
      </c>
      <c r="B241" s="7">
        <f t="shared" ref="B241:C241" si="103">(B223*B223)</f>
        <v>0.75735702454399523</v>
      </c>
      <c r="C241" s="7">
        <f t="shared" si="103"/>
        <v>0.31293273276335226</v>
      </c>
      <c r="D241" s="7"/>
      <c r="E241" s="7">
        <f t="shared" ref="E241:H241" si="104">(E223*E223)</f>
        <v>0.75735702454399523</v>
      </c>
      <c r="F241" s="7">
        <f t="shared" si="104"/>
        <v>0.31293273276335226</v>
      </c>
      <c r="G241" s="7">
        <f t="shared" si="104"/>
        <v>0.31293273276335226</v>
      </c>
      <c r="H241" s="7">
        <f t="shared" si="104"/>
        <v>0.31293273276335226</v>
      </c>
      <c r="I241" s="7"/>
      <c r="J241" s="7" t="s">
        <v>156</v>
      </c>
      <c r="K241" s="110">
        <v>0</v>
      </c>
      <c r="L241" s="110">
        <v>0</v>
      </c>
      <c r="M241" s="110">
        <v>0</v>
      </c>
      <c r="N241" s="110">
        <v>0</v>
      </c>
      <c r="O241" s="110">
        <v>0</v>
      </c>
      <c r="P241" s="110">
        <v>0</v>
      </c>
      <c r="Q241" s="110"/>
      <c r="R241" s="110">
        <v>1.3486985E-2</v>
      </c>
      <c r="S241" s="110">
        <v>0</v>
      </c>
      <c r="T241" s="110">
        <v>0</v>
      </c>
      <c r="U241" s="110">
        <v>0</v>
      </c>
      <c r="V241" s="110">
        <v>0</v>
      </c>
      <c r="W241" s="110">
        <v>0</v>
      </c>
      <c r="X241" s="7"/>
      <c r="Y241" s="7"/>
      <c r="Z241" s="7"/>
    </row>
    <row r="242" spans="1:26" ht="15.75" customHeight="1" x14ac:dyDescent="0.2">
      <c r="A242" s="7" t="s">
        <v>157</v>
      </c>
      <c r="B242" s="7">
        <f t="shared" ref="B242:C242" si="105">(B224*B224)</f>
        <v>1.3875556817945827</v>
      </c>
      <c r="C242" s="7">
        <f t="shared" si="105"/>
        <v>0.95223668372014181</v>
      </c>
      <c r="D242" s="7"/>
      <c r="E242" s="7">
        <f t="shared" ref="E242:H242" si="106">(E224*E224)</f>
        <v>2.1817754467943637</v>
      </c>
      <c r="F242" s="7">
        <f t="shared" si="106"/>
        <v>1.5869920811906557</v>
      </c>
      <c r="G242" s="7">
        <f t="shared" si="106"/>
        <v>1.5869920811906557</v>
      </c>
      <c r="H242" s="7">
        <f t="shared" si="106"/>
        <v>1.5869920811906557</v>
      </c>
      <c r="I242" s="7"/>
      <c r="J242" s="7" t="s">
        <v>157</v>
      </c>
      <c r="K242" s="110">
        <v>0</v>
      </c>
      <c r="L242" s="110">
        <v>0</v>
      </c>
      <c r="M242" s="110">
        <v>0</v>
      </c>
      <c r="N242" s="110">
        <v>0</v>
      </c>
      <c r="O242" s="110">
        <v>0</v>
      </c>
      <c r="P242" s="110">
        <v>0</v>
      </c>
      <c r="Q242" s="110"/>
      <c r="R242" s="110">
        <v>0</v>
      </c>
      <c r="S242" s="110">
        <v>0</v>
      </c>
      <c r="T242" s="110">
        <v>0</v>
      </c>
      <c r="U242" s="110">
        <v>0</v>
      </c>
      <c r="V242" s="110">
        <v>0</v>
      </c>
      <c r="W242" s="110">
        <v>0</v>
      </c>
      <c r="X242" s="7"/>
      <c r="Y242" s="7"/>
      <c r="Z242" s="7"/>
    </row>
    <row r="243" spans="1:26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2">
      <c r="A246" s="7"/>
      <c r="B246" s="7"/>
      <c r="C246" s="7"/>
      <c r="D246" s="7"/>
      <c r="E246" s="7"/>
      <c r="F246" s="7"/>
      <c r="G246" s="7"/>
      <c r="H246" s="7" t="s">
        <v>158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 t="s">
        <v>159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 t="s">
        <v>118</v>
      </c>
      <c r="J248" s="7" t="s">
        <v>118</v>
      </c>
      <c r="K248" s="7" t="s">
        <v>118</v>
      </c>
      <c r="L248" s="7" t="s">
        <v>118</v>
      </c>
      <c r="M248" s="7" t="s">
        <v>118</v>
      </c>
      <c r="N248" s="7" t="s">
        <v>118</v>
      </c>
      <c r="O248" s="7" t="s">
        <v>118</v>
      </c>
      <c r="P248" s="7" t="s">
        <v>119</v>
      </c>
      <c r="Q248" s="7" t="s">
        <v>119</v>
      </c>
      <c r="R248" s="7" t="s">
        <v>119</v>
      </c>
      <c r="S248" s="7" t="s">
        <v>119</v>
      </c>
      <c r="T248" s="7" t="s">
        <v>119</v>
      </c>
      <c r="U248" s="7" t="s">
        <v>119</v>
      </c>
      <c r="V248" s="7" t="s">
        <v>119</v>
      </c>
      <c r="W248" s="7"/>
      <c r="X248" s="7"/>
      <c r="Y248" s="7"/>
      <c r="Z248" s="7"/>
    </row>
    <row r="249" spans="1:26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 t="s">
        <v>123</v>
      </c>
      <c r="J249" s="7" t="s">
        <v>123</v>
      </c>
      <c r="K249" s="7" t="s">
        <v>122</v>
      </c>
      <c r="L249" s="7" t="s">
        <v>122</v>
      </c>
      <c r="M249" s="7" t="s">
        <v>122</v>
      </c>
      <c r="N249" s="7" t="s">
        <v>122</v>
      </c>
      <c r="O249" s="7" t="s">
        <v>122</v>
      </c>
      <c r="P249" s="7" t="s">
        <v>123</v>
      </c>
      <c r="Q249" s="7" t="s">
        <v>123</v>
      </c>
      <c r="R249" s="7" t="s">
        <v>122</v>
      </c>
      <c r="S249" s="7" t="s">
        <v>122</v>
      </c>
      <c r="T249" s="7" t="s">
        <v>122</v>
      </c>
      <c r="U249" s="7" t="s">
        <v>122</v>
      </c>
      <c r="V249" s="7" t="s">
        <v>122</v>
      </c>
      <c r="W249" s="7"/>
      <c r="X249" s="7"/>
      <c r="Y249" s="7"/>
      <c r="Z249" s="7"/>
    </row>
    <row r="250" spans="1:26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 t="s">
        <v>94</v>
      </c>
      <c r="J250" s="7" t="s">
        <v>95</v>
      </c>
      <c r="K250" s="7" t="s">
        <v>25</v>
      </c>
      <c r="L250" s="7" t="s">
        <v>126</v>
      </c>
      <c r="M250" s="7" t="s">
        <v>128</v>
      </c>
      <c r="N250" s="7" t="s">
        <v>129</v>
      </c>
      <c r="O250" s="7" t="s">
        <v>160</v>
      </c>
      <c r="P250" s="7" t="s">
        <v>94</v>
      </c>
      <c r="Q250" s="7" t="s">
        <v>95</v>
      </c>
      <c r="R250" s="7" t="s">
        <v>25</v>
      </c>
      <c r="S250" s="7" t="s">
        <v>126</v>
      </c>
      <c r="T250" s="7" t="s">
        <v>128</v>
      </c>
      <c r="U250" s="7" t="s">
        <v>129</v>
      </c>
      <c r="V250" s="7" t="s">
        <v>161</v>
      </c>
      <c r="W250" s="7"/>
      <c r="X250" s="7"/>
      <c r="Y250" s="7"/>
      <c r="Z250" s="7"/>
    </row>
    <row r="251" spans="1:26" ht="15.75" customHeight="1" x14ac:dyDescent="0.2">
      <c r="A251" s="7"/>
      <c r="B251" s="7"/>
      <c r="C251" s="7"/>
      <c r="D251" s="7"/>
      <c r="E251" s="7"/>
      <c r="F251" s="7"/>
      <c r="G251" s="7" t="s">
        <v>162</v>
      </c>
      <c r="H251" s="7"/>
      <c r="I251" s="7">
        <f t="shared" ref="I251:N251" si="107">(K217+$B219*K219+$B220*K220+$B221*K221+$B222*K222+$B223*K223+$B224*K224+$B225*K225+$B226*K226+$B227*K227+$B228*K228+$B229*K229+$B230*K230+$B231*K231+$B232*K232+$B233*K233+$B234*K234+$B235*K235+$B236*K236+$B237*K237+$B238*K238+$B239*K239+$B240*K240+$B241*K241+$B242*K242)</f>
        <v>-0.16480626613621432</v>
      </c>
      <c r="J251" s="7">
        <f t="shared" si="107"/>
        <v>-0.83910633430391945</v>
      </c>
      <c r="K251" s="7">
        <f t="shared" si="107"/>
        <v>2.6807426177530473</v>
      </c>
      <c r="L251" s="7">
        <f t="shared" si="107"/>
        <v>0.50620250686155421</v>
      </c>
      <c r="M251" s="7">
        <f t="shared" si="107"/>
        <v>2.4488062868167848</v>
      </c>
      <c r="N251" s="7">
        <f t="shared" si="107"/>
        <v>1.1054581093316949</v>
      </c>
      <c r="O251" s="7"/>
      <c r="P251" s="7">
        <f t="shared" ref="P251:U251" si="108">(R217+$C219*R219+$C220*R220+$C221*R221+$C222*R222+$C223*R223+$C224*R224+$C225*R225+$C226*R226+$C227*R227+$C228*R228+$C229*R229+$C230*R230+$C231*R231+$C232*R232+$C233*R233+$C234*R234+$C235*R235+$C236*R236+$C237*R237+$C238*R238+$C239*R239+$C240*R240+$C241*R241+$C242*R242)</f>
        <v>-0.73370041556644983</v>
      </c>
      <c r="Q251" s="7">
        <f t="shared" si="108"/>
        <v>-1.2855407942559716</v>
      </c>
      <c r="R251" s="7">
        <f t="shared" si="108"/>
        <v>1.7894624453677159</v>
      </c>
      <c r="S251" s="7">
        <f t="shared" si="108"/>
        <v>-0.22964287599693639</v>
      </c>
      <c r="T251" s="7">
        <f t="shared" si="108"/>
        <v>0.64655169381215993</v>
      </c>
      <c r="U251" s="7">
        <f t="shared" si="108"/>
        <v>-0.4560417363497139</v>
      </c>
      <c r="V251" s="7"/>
      <c r="W251" s="7"/>
      <c r="X251" s="7"/>
      <c r="Y251" s="7"/>
      <c r="Z251" s="7"/>
    </row>
    <row r="252" spans="1:26" ht="15.75" customHeight="1" x14ac:dyDescent="0.2">
      <c r="A252" s="7"/>
      <c r="B252" s="7"/>
      <c r="C252" s="7"/>
      <c r="D252" s="7"/>
      <c r="E252" s="7"/>
      <c r="F252" s="7"/>
      <c r="G252" s="7" t="s">
        <v>163</v>
      </c>
      <c r="H252" s="7"/>
      <c r="I252" s="7">
        <f t="shared" ref="I252:N252" si="109">EXP(I251)</f>
        <v>0.84805798572423252</v>
      </c>
      <c r="J252" s="7">
        <f t="shared" si="109"/>
        <v>0.43209650075616557</v>
      </c>
      <c r="K252" s="7">
        <f t="shared" si="109"/>
        <v>14.595928467789722</v>
      </c>
      <c r="L252" s="7">
        <f t="shared" si="109"/>
        <v>1.6589792554184355</v>
      </c>
      <c r="M252" s="7">
        <f t="shared" si="109"/>
        <v>11.574521810102771</v>
      </c>
      <c r="N252" s="7">
        <f t="shared" si="109"/>
        <v>3.0206079205720973</v>
      </c>
      <c r="O252" s="7">
        <f>($T$192*K252+$T$193*L252+$T$194*M252+$T$195*N252)</f>
        <v>4.5937250850254383</v>
      </c>
      <c r="P252" s="7">
        <f t="shared" ref="P252:U252" si="110">EXP(P251)</f>
        <v>0.48012902190375573</v>
      </c>
      <c r="Q252" s="7">
        <f t="shared" si="110"/>
        <v>0.27650101303253982</v>
      </c>
      <c r="R252" s="7">
        <f t="shared" si="110"/>
        <v>5.9862336736809372</v>
      </c>
      <c r="S252" s="7">
        <f t="shared" si="110"/>
        <v>0.79481740019649638</v>
      </c>
      <c r="T252" s="7">
        <f t="shared" si="110"/>
        <v>1.908946833312235</v>
      </c>
      <c r="U252" s="7">
        <f t="shared" si="110"/>
        <v>0.63378738457461015</v>
      </c>
      <c r="V252" s="7">
        <f>($T$192*R252+$T$193*S252+$T$194*T252+$T$195*U252)</f>
        <v>1.889430862041378</v>
      </c>
      <c r="W252" s="7"/>
      <c r="X252" s="7"/>
      <c r="Y252" s="7"/>
      <c r="Z252" s="7"/>
    </row>
    <row r="253" spans="1:26" ht="15.75" customHeight="1" x14ac:dyDescent="0.2">
      <c r="A253" s="7" t="s">
        <v>119</v>
      </c>
      <c r="B253" s="7"/>
      <c r="C253" s="7" t="s">
        <v>164</v>
      </c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2">
      <c r="A254" s="7" t="s">
        <v>117</v>
      </c>
      <c r="B254" s="7"/>
      <c r="C254" s="7" t="s">
        <v>165</v>
      </c>
      <c r="D254" s="7"/>
      <c r="E254" s="7"/>
      <c r="F254" s="7"/>
      <c r="G254" s="7"/>
      <c r="H254" s="7"/>
      <c r="I254" s="7" t="s">
        <v>166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2">
      <c r="A255" s="7">
        <f>(C191)</f>
        <v>7</v>
      </c>
      <c r="B255" s="7"/>
      <c r="C255" s="7"/>
      <c r="D255" s="7"/>
      <c r="E255" s="7"/>
      <c r="F255" s="7"/>
      <c r="G255" s="7"/>
      <c r="H255" s="7"/>
      <c r="I255" s="7" t="s">
        <v>118</v>
      </c>
      <c r="J255" s="7" t="s">
        <v>118</v>
      </c>
      <c r="K255" s="7" t="s">
        <v>118</v>
      </c>
      <c r="L255" s="7" t="s">
        <v>118</v>
      </c>
      <c r="M255" s="7" t="s">
        <v>118</v>
      </c>
      <c r="N255" s="7" t="s">
        <v>118</v>
      </c>
      <c r="O255" s="7" t="s">
        <v>118</v>
      </c>
      <c r="P255" s="7" t="s">
        <v>119</v>
      </c>
      <c r="Q255" s="7" t="s">
        <v>119</v>
      </c>
      <c r="R255" s="7" t="s">
        <v>119</v>
      </c>
      <c r="S255" s="7" t="s">
        <v>119</v>
      </c>
      <c r="T255" s="7" t="s">
        <v>119</v>
      </c>
      <c r="U255" s="7" t="s">
        <v>119</v>
      </c>
      <c r="V255" s="7" t="s">
        <v>119</v>
      </c>
      <c r="W255" s="7"/>
      <c r="X255" s="7"/>
      <c r="Y255" s="7"/>
      <c r="Z255" s="7"/>
    </row>
    <row r="256" spans="1:26" ht="15.75" customHeight="1" x14ac:dyDescent="0.2">
      <c r="A256" s="109">
        <f>IF(C192&lt;181.3,181.3,C192)</f>
        <v>181.3</v>
      </c>
      <c r="B256" s="7"/>
      <c r="C256" s="7"/>
      <c r="D256" s="7"/>
      <c r="E256" s="7"/>
      <c r="F256" s="7"/>
      <c r="G256" s="7"/>
      <c r="H256" s="7"/>
      <c r="I256" s="7" t="s">
        <v>123</v>
      </c>
      <c r="J256" s="7" t="s">
        <v>123</v>
      </c>
      <c r="K256" s="7" t="s">
        <v>122</v>
      </c>
      <c r="L256" s="7" t="s">
        <v>122</v>
      </c>
      <c r="M256" s="7" t="s">
        <v>122</v>
      </c>
      <c r="N256" s="7" t="s">
        <v>122</v>
      </c>
      <c r="O256" s="7" t="s">
        <v>122</v>
      </c>
      <c r="P256" s="7" t="s">
        <v>123</v>
      </c>
      <c r="Q256" s="7" t="s">
        <v>123</v>
      </c>
      <c r="R256" s="7" t="s">
        <v>122</v>
      </c>
      <c r="S256" s="7" t="s">
        <v>122</v>
      </c>
      <c r="T256" s="7" t="s">
        <v>122</v>
      </c>
      <c r="U256" s="7" t="s">
        <v>122</v>
      </c>
      <c r="V256" s="7" t="s">
        <v>122</v>
      </c>
      <c r="W256" s="7"/>
      <c r="X256" s="7"/>
      <c r="Y256" s="7"/>
      <c r="Z256" s="7"/>
    </row>
    <row r="257" spans="1:26" ht="15.75" customHeight="1" x14ac:dyDescent="0.2">
      <c r="A257" s="109">
        <f>IF(C193&lt;C257,C257,C193)</f>
        <v>310.60611599999999</v>
      </c>
      <c r="B257" s="7"/>
      <c r="C257" s="109">
        <f>323.8-0.9712*B24-7.27598*C27</f>
        <v>310.60611599999999</v>
      </c>
      <c r="D257" s="7"/>
      <c r="E257" s="7"/>
      <c r="F257" s="7"/>
      <c r="G257" s="7"/>
      <c r="H257" s="7"/>
      <c r="I257" s="7" t="s">
        <v>94</v>
      </c>
      <c r="J257" s="7" t="s">
        <v>95</v>
      </c>
      <c r="K257" s="7" t="s">
        <v>25</v>
      </c>
      <c r="L257" s="7" t="s">
        <v>126</v>
      </c>
      <c r="M257" s="7" t="s">
        <v>128</v>
      </c>
      <c r="N257" s="7" t="s">
        <v>129</v>
      </c>
      <c r="O257" s="7" t="s">
        <v>161</v>
      </c>
      <c r="P257" s="7" t="s">
        <v>94</v>
      </c>
      <c r="Q257" s="7" t="s">
        <v>95</v>
      </c>
      <c r="R257" s="7" t="s">
        <v>25</v>
      </c>
      <c r="S257" s="7" t="s">
        <v>126</v>
      </c>
      <c r="T257" s="7" t="s">
        <v>128</v>
      </c>
      <c r="U257" s="7" t="s">
        <v>129</v>
      </c>
      <c r="V257" s="7" t="s">
        <v>161</v>
      </c>
      <c r="W257" s="7"/>
      <c r="X257" s="7"/>
      <c r="Y257" s="7"/>
      <c r="Z257" s="7"/>
    </row>
    <row r="258" spans="1:26" ht="15.75" customHeight="1" x14ac:dyDescent="0.2">
      <c r="A258" s="102">
        <f t="shared" ref="A258:A259" si="111">(C194)</f>
        <v>0.1</v>
      </c>
      <c r="B258" s="7"/>
      <c r="C258" s="7"/>
      <c r="D258" s="7"/>
      <c r="E258" s="7"/>
      <c r="F258" s="7"/>
      <c r="G258" s="7" t="s">
        <v>162</v>
      </c>
      <c r="H258" s="7"/>
      <c r="I258" s="7">
        <f t="shared" ref="I258:N258" si="112">(K217+$E219*K219+$E220*K220+$E221*K221+$E222*K222+$E223*K223+$E224*K224+$E225*K225+$E226*K226+$E227*K227+$E228*K228+$E229*K229+$E230*K230+$E231*K231+$E232*K232+$E233*K233+$E234*K234+$E235*K235+$E236*K236+$E237*K237+$E238*K238+$E239*K239+$E240*K240+$E241*K241+$E242*K242)</f>
        <v>0.12150097142015059</v>
      </c>
      <c r="J258" s="7">
        <f t="shared" si="112"/>
        <v>-0.7904729504710637</v>
      </c>
      <c r="K258" s="7">
        <f t="shared" si="112"/>
        <v>1.9812369719196954</v>
      </c>
      <c r="L258" s="7">
        <f t="shared" si="112"/>
        <v>-1.583042662518733</v>
      </c>
      <c r="M258" s="7">
        <f t="shared" si="112"/>
        <v>2.7585602738096688</v>
      </c>
      <c r="N258" s="7">
        <f t="shared" si="112"/>
        <v>1.373663860417597</v>
      </c>
      <c r="O258" s="7"/>
      <c r="P258" s="7">
        <f>(R217+$F219*R219+$F220*R220+$F221*R221+$F222*R222+$F223*R223+$F224*R224+$F225*R225+$F226*R226+$F227*R227+$F228*R228+$F229*R229+$F230*R230+$F231*R231+$F232*R232+$F233*R233+$F234*R234+$F235*R235+$F236*R236+$F237*R237+$F238*R238+$F239*R239+$F240*R240+$F241*R241+$F242*R242)</f>
        <v>-0.68859904546896866</v>
      </c>
      <c r="Q258" s="7">
        <f>S217+$G219*S219+$G220*S220+$G221*S221+$G222*S222+$G223*S223+$G224*S224+$G225*S225+$G226*S226+$G227*S227+$G228*S228+$G229*S229+$G230*S230+$G231*S231+$G232*S232+$G233*S233+$G234*S234+$G235*S235+$G236*S236+$G237*S237+$G238*S238+$G239*S239+$G240*S240+$G241*S241+$G242*S242</f>
        <v>-1.5185440745838785</v>
      </c>
      <c r="R258" s="7">
        <f t="shared" ref="R258:U258" si="113">T217+$H219*T219+$H220*T220+$H221*T221+$H222*T222+$H223*T223+$H224*T224+$H225*T225+$H226*T226+$H227*T227+$H228*T228+$H229*T229+$H230*T230+$H231*T231+$H232*T232+$H233*T233+$H234*T234+$H235*T235+$H236*T236+$H237*T237+$H238*T238+$H239*T239+$H240*T240+$H241*T241+$H242*T242</f>
        <v>0.55274818404238357</v>
      </c>
      <c r="S258" s="7">
        <f t="shared" si="113"/>
        <v>-1.8443900626307965</v>
      </c>
      <c r="T258" s="7">
        <f t="shared" si="113"/>
        <v>-0.18311567564529913</v>
      </c>
      <c r="U258" s="7">
        <f t="shared" si="113"/>
        <v>-1.7459688847550254</v>
      </c>
      <c r="V258" s="7"/>
      <c r="W258" s="7"/>
      <c r="X258" s="7"/>
      <c r="Y258" s="7"/>
      <c r="Z258" s="7"/>
    </row>
    <row r="259" spans="1:26" ht="15.75" customHeight="1" x14ac:dyDescent="0.2">
      <c r="A259" s="102">
        <f t="shared" si="111"/>
        <v>0</v>
      </c>
      <c r="B259" s="7"/>
      <c r="C259" s="7"/>
      <c r="D259" s="7"/>
      <c r="E259" s="7"/>
      <c r="F259" s="7"/>
      <c r="G259" s="7" t="s">
        <v>163</v>
      </c>
      <c r="H259" s="7"/>
      <c r="I259" s="7">
        <f t="shared" ref="I259:N259" si="114">EXP(I258)</f>
        <v>1.1291904628429943</v>
      </c>
      <c r="J259" s="7">
        <f t="shared" si="114"/>
        <v>0.45363019992312542</v>
      </c>
      <c r="K259" s="7">
        <f t="shared" si="114"/>
        <v>7.2517075981994648</v>
      </c>
      <c r="L259" s="7">
        <f t="shared" si="114"/>
        <v>0.20534933796515994</v>
      </c>
      <c r="M259" s="7">
        <f t="shared" si="114"/>
        <v>15.777111867757073</v>
      </c>
      <c r="N259" s="7">
        <f t="shared" si="114"/>
        <v>3.9497957172256823</v>
      </c>
      <c r="O259" s="7">
        <f>($T$192*K259+$T$193*L259+$T$194*M259+$T$195*N259)</f>
        <v>2.0535352765061772</v>
      </c>
      <c r="P259" s="7">
        <f t="shared" ref="P259:U259" si="115">EXP(P258)</f>
        <v>0.50227924677766211</v>
      </c>
      <c r="Q259" s="7">
        <f t="shared" si="115"/>
        <v>0.21903054706362488</v>
      </c>
      <c r="R259" s="7">
        <f t="shared" si="115"/>
        <v>1.7380228673626155</v>
      </c>
      <c r="S259" s="7">
        <f t="shared" si="115"/>
        <v>0.15812173583868988</v>
      </c>
      <c r="T259" s="7">
        <f t="shared" si="115"/>
        <v>0.83267183031465164</v>
      </c>
      <c r="U259" s="7">
        <f t="shared" si="115"/>
        <v>0.17447586004590654</v>
      </c>
      <c r="V259" s="7">
        <f>($T$192*R259+$T$193*S259+$T$194*T259+$T$195*U259)</f>
        <v>0.48552075111208182</v>
      </c>
      <c r="W259" s="7"/>
      <c r="X259" s="7"/>
      <c r="Y259" s="7"/>
      <c r="Z259" s="7"/>
    </row>
    <row r="260" spans="1:26" ht="15.75" customHeight="1" x14ac:dyDescent="0.2">
      <c r="A260" s="102">
        <f>IF(C196&lt;C260,C260,C196)</f>
        <v>2</v>
      </c>
      <c r="B260" s="7"/>
      <c r="C260" s="102">
        <f>4.724+0.035867*B24-0.57808*7</f>
        <v>0.68102669999999943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2">
      <c r="A261" s="109">
        <f t="shared" ref="A261:A262" si="116">(C197)</f>
        <v>1</v>
      </c>
      <c r="B261" s="7"/>
      <c r="C261" s="7"/>
      <c r="D261" s="7"/>
      <c r="E261" s="7"/>
      <c r="F261" s="7"/>
      <c r="G261" s="7"/>
      <c r="H261" s="7" t="s">
        <v>167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2">
      <c r="A262" s="101">
        <f t="shared" si="116"/>
        <v>0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2">
      <c r="A263" s="7"/>
      <c r="B263" s="7"/>
      <c r="C263" s="7"/>
      <c r="D263" s="7"/>
      <c r="E263" s="7"/>
      <c r="F263" s="7"/>
      <c r="G263" s="7"/>
      <c r="H263" s="7" t="s">
        <v>91</v>
      </c>
      <c r="I263" s="7"/>
      <c r="J263" s="7" t="s">
        <v>118</v>
      </c>
      <c r="K263" s="7" t="s">
        <v>119</v>
      </c>
      <c r="L263" s="7" t="s">
        <v>92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2">
      <c r="A264" s="7"/>
      <c r="B264" s="7"/>
      <c r="C264" s="7"/>
      <c r="D264" s="7"/>
      <c r="E264" s="7"/>
      <c r="F264" s="7"/>
      <c r="G264" s="7"/>
      <c r="H264" s="7" t="s">
        <v>168</v>
      </c>
      <c r="I264" s="7"/>
      <c r="J264" s="7">
        <f>((I259-I252)/I252)*100</f>
        <v>33.150147967615403</v>
      </c>
      <c r="K264" s="7">
        <f>((P259-P252)/P252)*100</f>
        <v>4.6133901229462673</v>
      </c>
      <c r="L264" s="7">
        <f t="shared" ref="L264:L265" si="117">(O192*J264+P192*K264)</f>
        <v>9.5787859879186961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2">
      <c r="A265" s="7"/>
      <c r="B265" s="7"/>
      <c r="C265" s="7"/>
      <c r="D265" s="7"/>
      <c r="E265" s="7"/>
      <c r="F265" s="7"/>
      <c r="G265" s="7"/>
      <c r="H265" s="7" t="s">
        <v>169</v>
      </c>
      <c r="I265" s="7"/>
      <c r="J265" s="7">
        <f>((J259-J252)/J252)*100</f>
        <v>4.9835393550459317</v>
      </c>
      <c r="K265" s="7">
        <f>((Q259-Q252)/Q252)*100</f>
        <v>-20.784902499489785</v>
      </c>
      <c r="L265" s="7">
        <f t="shared" si="117"/>
        <v>-15.682751012291714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2">
      <c r="A266" s="7"/>
      <c r="B266" s="7"/>
      <c r="C266" s="7"/>
      <c r="D266" s="7"/>
      <c r="E266" s="7"/>
      <c r="F266" s="7"/>
      <c r="G266" s="7"/>
      <c r="H266" s="7" t="s">
        <v>65</v>
      </c>
      <c r="I266" s="7"/>
      <c r="J266" s="7">
        <f>((K259-K252)/K252)*100</f>
        <v>-50.316914650530634</v>
      </c>
      <c r="K266" s="7">
        <f>((R259-R252)/R252)*100</f>
        <v>-70.966337732454321</v>
      </c>
      <c r="L266" s="7">
        <f>((((O$100*K259+P$100*R259)/(O$100*K252+P$100*R252))-1)*100)</f>
        <v>-66.993825098779823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2">
      <c r="A267" s="7"/>
      <c r="B267" s="7"/>
      <c r="C267" s="7"/>
      <c r="D267" s="7"/>
      <c r="E267" s="7"/>
      <c r="F267" s="7"/>
      <c r="G267" s="7"/>
      <c r="H267" s="7" t="s">
        <v>126</v>
      </c>
      <c r="I267" s="7"/>
      <c r="J267" s="7">
        <f>((L259-L252)/L252)*100</f>
        <v>-87.621946609973392</v>
      </c>
      <c r="K267" s="7">
        <f>((S259-S252)/S252)*100</f>
        <v>-80.10590409827482</v>
      </c>
      <c r="L267" s="7">
        <f>((((O$100*L259+P$100*S259)/(O$100*L252+P$100*S252))-1)*100)</f>
        <v>-81.378936012028674</v>
      </c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2">
      <c r="A268" s="7"/>
      <c r="B268" s="7"/>
      <c r="C268" s="7"/>
      <c r="D268" s="7"/>
      <c r="E268" s="7"/>
      <c r="F268" s="7"/>
      <c r="G268" s="7"/>
      <c r="H268" s="7" t="s">
        <v>128</v>
      </c>
      <c r="I268" s="7"/>
      <c r="J268" s="7">
        <f>((M259-M252)/M252)*100</f>
        <v>36.308973507536955</v>
      </c>
      <c r="K268" s="7">
        <f>((T259-T252)/T252)*100</f>
        <v>-56.38056462421882</v>
      </c>
      <c r="L268" s="7">
        <f>((((O$100*M259+P$100*T259)/(O$100*M252+P$100*T252))-1)*100)</f>
        <v>-21.900178183657438</v>
      </c>
      <c r="M268" s="7"/>
      <c r="N268" s="7" t="s">
        <v>170</v>
      </c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2">
      <c r="A269" s="7"/>
      <c r="B269" s="7"/>
      <c r="C269" s="7"/>
      <c r="D269" s="7"/>
      <c r="E269" s="7"/>
      <c r="F269" s="7"/>
      <c r="G269" s="7"/>
      <c r="H269" s="7" t="s">
        <v>129</v>
      </c>
      <c r="I269" s="7"/>
      <c r="J269" s="7">
        <f>((N259-N252)/N252)*100</f>
        <v>30.761615578283948</v>
      </c>
      <c r="K269" s="7">
        <f>((U259-U252)/U252)*100</f>
        <v>-72.470916226423086</v>
      </c>
      <c r="L269" s="7">
        <f>((((O$100*N259+P$100*U259)/(O$100*N252+P$100*U252))-1)*100)</f>
        <v>-39.674942907144704</v>
      </c>
      <c r="M269" s="7"/>
      <c r="N269" s="7" t="s">
        <v>116</v>
      </c>
      <c r="O269" s="7" t="s">
        <v>117</v>
      </c>
      <c r="P269" s="7" t="s">
        <v>171</v>
      </c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2">
      <c r="A270" s="7"/>
      <c r="B270" s="7"/>
      <c r="C270" s="7"/>
      <c r="D270" s="7"/>
      <c r="E270" s="7"/>
      <c r="F270" s="7"/>
      <c r="G270" s="7"/>
      <c r="H270" s="7" t="s">
        <v>172</v>
      </c>
      <c r="I270" s="7"/>
      <c r="J270" s="7">
        <f>((O259-O252)/O252)*100</f>
        <v>-55.296948805224254</v>
      </c>
      <c r="K270" s="7">
        <f>((V259-V252)/V252)*100</f>
        <v>-74.303333301779801</v>
      </c>
      <c r="L270" s="7">
        <f>((((O100*O259+P100*V259)/(O100*O252+P100*V252))-1)*100)</f>
        <v>-70.655358198372596</v>
      </c>
      <c r="M270" s="7"/>
      <c r="N270" s="7">
        <f>((K252*O$100+R252*P$100)*T$98)+((L252*O$100+S252*P$100)*T$99)+((M252*O$100+T252*P$100)*T$100)+((N252*O$100+U252*P$100)*T$101)</f>
        <v>2.1301130478869594</v>
      </c>
      <c r="O270" s="7">
        <f>((K259*O$100+R259*P$100)*T$98)+((L259*O$100+S259*P$100)*T$99)+((M259*O$100+T259*P$100)*T$100)+((N259*O$100+U259*P$100)*T$101)</f>
        <v>0.62507404387215626</v>
      </c>
      <c r="P270" s="7">
        <f>((O270-N270)/N270)*100</f>
        <v>-70.655358198372596</v>
      </c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 t="s">
        <v>173</v>
      </c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 t="s">
        <v>174</v>
      </c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 x14ac:dyDescent="0.2"/>
  <cols>
    <col min="1" max="1" width="23.7109375" customWidth="1"/>
    <col min="2" max="2" width="13.7109375" customWidth="1"/>
    <col min="3" max="3" width="14" customWidth="1"/>
    <col min="4" max="4" width="14.140625" customWidth="1"/>
    <col min="5" max="5" width="5.7109375" customWidth="1"/>
    <col min="6" max="6" width="9" customWidth="1"/>
    <col min="7" max="7" width="14.140625" customWidth="1"/>
    <col min="8" max="26" width="8" customWidth="1"/>
  </cols>
  <sheetData>
    <row r="1" spans="1:26" ht="18" customHeight="1" x14ac:dyDescent="0.25">
      <c r="A1" s="189" t="s">
        <v>176</v>
      </c>
      <c r="B1" s="165"/>
      <c r="C1" s="165"/>
      <c r="D1" s="165"/>
      <c r="E1" s="165"/>
      <c r="F1" s="165"/>
      <c r="G1" s="16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">
      <c r="A2" s="190" t="s">
        <v>177</v>
      </c>
      <c r="B2" s="165"/>
      <c r="C2" s="165"/>
      <c r="D2" s="165"/>
      <c r="E2" s="165"/>
      <c r="F2" s="165"/>
      <c r="G2" s="16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2">
      <c r="A3" s="190" t="s">
        <v>178</v>
      </c>
      <c r="B3" s="165"/>
      <c r="C3" s="165"/>
      <c r="D3" s="165"/>
      <c r="E3" s="165"/>
      <c r="F3" s="165"/>
      <c r="G3" s="16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">
      <c r="A4" s="190"/>
      <c r="B4" s="165"/>
      <c r="C4" s="165"/>
      <c r="D4" s="165"/>
      <c r="E4" s="165"/>
      <c r="F4" s="165"/>
      <c r="G4" s="16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" customHeight="1" x14ac:dyDescent="0.25">
      <c r="A5" s="191" t="s">
        <v>179</v>
      </c>
      <c r="B5" s="165"/>
      <c r="C5" s="165"/>
      <c r="D5" s="165"/>
      <c r="E5" s="165"/>
      <c r="F5" s="165"/>
      <c r="G5" s="16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192"/>
      <c r="B6" s="165"/>
      <c r="C6" s="165"/>
      <c r="D6" s="165"/>
      <c r="E6" s="165"/>
      <c r="F6" s="165"/>
      <c r="G6" s="16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113" t="s">
        <v>180</v>
      </c>
      <c r="B7" s="114">
        <v>2</v>
      </c>
      <c r="C7" s="61" t="s">
        <v>41</v>
      </c>
      <c r="D7" s="193" t="s">
        <v>181</v>
      </c>
      <c r="E7" s="165"/>
      <c r="F7" s="165"/>
      <c r="G7" s="16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">
      <c r="A8" s="194"/>
      <c r="B8" s="165"/>
      <c r="C8" s="165"/>
      <c r="D8" s="165"/>
      <c r="E8" s="165"/>
      <c r="F8" s="165"/>
      <c r="G8" s="16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">
      <c r="A9" s="7" t="s">
        <v>182</v>
      </c>
      <c r="B9" s="195"/>
      <c r="C9" s="196"/>
      <c r="D9" s="115" t="s">
        <v>183</v>
      </c>
      <c r="E9" s="195"/>
      <c r="F9" s="196"/>
      <c r="G9" s="19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7" t="s">
        <v>184</v>
      </c>
      <c r="B10" s="197"/>
      <c r="C10" s="196"/>
      <c r="D10" s="196"/>
      <c r="E10" s="196"/>
      <c r="F10" s="196"/>
      <c r="G10" s="19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187"/>
      <c r="B11" s="165"/>
      <c r="C11" s="165"/>
      <c r="D11" s="165"/>
      <c r="E11" s="165"/>
      <c r="F11" s="165"/>
      <c r="G11" s="16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7" t="s">
        <v>185</v>
      </c>
      <c r="B12" s="116"/>
      <c r="C12" s="198" t="s">
        <v>186</v>
      </c>
      <c r="D12" s="165"/>
      <c r="E12" s="165"/>
      <c r="F12" s="197"/>
      <c r="G12" s="19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7" t="s">
        <v>187</v>
      </c>
      <c r="B13" s="117"/>
      <c r="C13" s="198" t="s">
        <v>188</v>
      </c>
      <c r="D13" s="165"/>
      <c r="E13" s="165"/>
      <c r="F13" s="195"/>
      <c r="G13" s="19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2">
      <c r="A14" s="7" t="s">
        <v>189</v>
      </c>
      <c r="B14" s="118"/>
      <c r="C14" s="198" t="s">
        <v>190</v>
      </c>
      <c r="D14" s="165"/>
      <c r="E14" s="165"/>
      <c r="F14" s="195"/>
      <c r="G14" s="19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2">
      <c r="A15" s="7" t="s">
        <v>191</v>
      </c>
      <c r="B15" s="119"/>
      <c r="C15" s="198" t="s">
        <v>192</v>
      </c>
      <c r="D15" s="165"/>
      <c r="E15" s="165"/>
      <c r="F15" s="197"/>
      <c r="G15" s="19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7" t="s">
        <v>193</v>
      </c>
      <c r="B16" s="120"/>
      <c r="C16" s="187"/>
      <c r="D16" s="165"/>
      <c r="E16" s="165"/>
      <c r="F16" s="165"/>
      <c r="G16" s="16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199" t="s">
        <v>194</v>
      </c>
      <c r="B17" s="165"/>
      <c r="C17" s="165"/>
      <c r="D17" s="165"/>
      <c r="E17" s="165"/>
      <c r="F17" s="200"/>
      <c r="G17" s="121" t="str">
        <f>'Phase 2 CARBOB for PM Flat'!E34</f>
        <v>N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201" t="s">
        <v>195</v>
      </c>
      <c r="B18" s="177"/>
      <c r="C18" s="177"/>
      <c r="D18" s="177"/>
      <c r="E18" s="177"/>
      <c r="F18" s="202"/>
      <c r="G18" s="122" t="str">
        <f>'Phase 2 CARBOB for PM Flat'!E36</f>
        <v>N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123" t="s">
        <v>196</v>
      </c>
      <c r="B19" s="124" t="s">
        <v>197</v>
      </c>
      <c r="C19" s="124" t="s">
        <v>41</v>
      </c>
      <c r="D19" s="125" t="s">
        <v>42</v>
      </c>
      <c r="E19" s="203" t="s">
        <v>198</v>
      </c>
      <c r="F19" s="204"/>
      <c r="G19" s="20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2">
      <c r="A20" s="126" t="s">
        <v>45</v>
      </c>
      <c r="B20" s="127" t="s">
        <v>199</v>
      </c>
      <c r="C20" s="127"/>
      <c r="D20" s="128"/>
      <c r="E20" s="206" t="s">
        <v>200</v>
      </c>
      <c r="F20" s="207"/>
      <c r="G20" s="129" t="s">
        <v>201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2">
      <c r="A21" s="130" t="str">
        <f>IF(G17="Y","RVP, psi MAX.","RVP,psi MIN.")</f>
        <v>RVP,psi MIN.</v>
      </c>
      <c r="B21" s="131" t="s">
        <v>202</v>
      </c>
      <c r="C21" s="132">
        <f>'Phase 2 CARBOB for PM Flat'!B42</f>
        <v>0</v>
      </c>
      <c r="D21" s="131" t="s">
        <v>202</v>
      </c>
      <c r="E21" s="208" t="str">
        <f>IF(G17="Y",'Phase 2 PM for (ETOH Min)'!B21,"n/a")</f>
        <v>n/a</v>
      </c>
      <c r="F21" s="165"/>
      <c r="G21" s="133" t="str">
        <f>IF(G17="Y",'Phase 2 PM for (ETOH Max)'!B21,"n/a")</f>
        <v>n/a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2">
      <c r="A22" s="134" t="s">
        <v>203</v>
      </c>
      <c r="B22" s="135" t="str">
        <f>'Phase 2 CARBOB for PM Flat'!B25</f>
        <v>F</v>
      </c>
      <c r="C22" s="136">
        <f>'Phase 2 CARBOB for PM Flat'!B45</f>
        <v>0</v>
      </c>
      <c r="D22" s="137">
        <f>IF('Phase 2 CARBOB for PM Flat'!E36="Y",'Phase 2 CARBOB for PM Flat'!J45,'Phase 2 CARBOB for PM Flat'!H45)</f>
        <v>1.7</v>
      </c>
      <c r="E22" s="209">
        <f>'Phase 2 PM for (ETOH Min)'!B24</f>
        <v>0.1</v>
      </c>
      <c r="F22" s="165"/>
      <c r="G22" s="138">
        <f>'Phase 2 PM for (ETOH Max)'!B24</f>
        <v>0.1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2">
      <c r="A23" s="134" t="s">
        <v>204</v>
      </c>
      <c r="B23" s="135" t="str">
        <f>'Phase 2 CARBOB for PM Flat'!B28</f>
        <v>F</v>
      </c>
      <c r="C23" s="139">
        <f>'Phase 2 CARBOB for PM Flat'!B51</f>
        <v>0</v>
      </c>
      <c r="D23" s="140">
        <f>IF('Phase 2 CARBOB for PM Flat'!E36="Y",'Phase 2 CARBOB for PM Flat'!J51,'Phase 2 CARBOB for PM Flat'!H51)</f>
        <v>0.06</v>
      </c>
      <c r="E23" s="208">
        <f>'Phase 2 PM for (ETOH Min)'!B30</f>
        <v>0</v>
      </c>
      <c r="F23" s="165"/>
      <c r="G23" s="141">
        <f>'Phase 2 PM for (ETOH Max)'!B30</f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2">
      <c r="A24" s="134" t="s">
        <v>205</v>
      </c>
      <c r="B24" s="135" t="str">
        <f>'Phase 2 CARBOB for PM Flat'!B26</f>
        <v>F</v>
      </c>
      <c r="C24" s="136">
        <f>'Phase 2 CARBOB for PM Flat'!B46</f>
        <v>0</v>
      </c>
      <c r="D24" s="137">
        <f>IF('Phase 2 CARBOB for PM Flat'!E36="Y",'Phase 2 CARBOB for PM Flat'!J46,'Phase 2 CARBOB for PM Flat'!H46)</f>
        <v>0.5</v>
      </c>
      <c r="E24" s="209">
        <f>'Phase 2 PM for (ETOH Min)'!B25</f>
        <v>0</v>
      </c>
      <c r="F24" s="165"/>
      <c r="G24" s="138">
        <f>'Phase 2 PM for (ETOH Max)'!B25</f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2">
      <c r="A25" s="134" t="s">
        <v>206</v>
      </c>
      <c r="B25" s="135" t="str">
        <f>'Phase 2 CARBOB for PM Flat'!B27</f>
        <v>F</v>
      </c>
      <c r="C25" s="142">
        <f>'Phase 2 CARBOB for PM Flat'!B50</f>
        <v>0</v>
      </c>
      <c r="D25" s="143">
        <f>IF('Phase 2 CARBOB for PM Flat'!E36="Y",'Phase 2 CARBOB for PM Flat'!J50,'Phase 2 CARBOB for PM Flat'!H50)</f>
        <v>10</v>
      </c>
      <c r="E25" s="210">
        <f>'Phase 2 PM for (ETOH Min)'!B29</f>
        <v>1</v>
      </c>
      <c r="F25" s="165"/>
      <c r="G25" s="144">
        <f>'Phase 2 PM for (ETOH Max)'!B29</f>
        <v>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" customHeight="1" x14ac:dyDescent="0.2">
      <c r="A26" s="134" t="s">
        <v>207</v>
      </c>
      <c r="B26" s="135" t="str">
        <f>'Phase 2 CARBOB for PM Flat'!B23</f>
        <v>F</v>
      </c>
      <c r="C26" s="142">
        <f>'Phase 2 CARBOB for PM Flat'!B43</f>
        <v>0</v>
      </c>
      <c r="D26" s="145" t="s">
        <v>202</v>
      </c>
      <c r="E26" s="210">
        <f>'Phase 2 PM for (ETOH Min)'!B22</f>
        <v>80</v>
      </c>
      <c r="F26" s="165"/>
      <c r="G26" s="144">
        <f>'Phase 2 PM for (ETOH Max)'!B22</f>
        <v>80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8" customHeight="1" x14ac:dyDescent="0.2">
      <c r="A27" s="134" t="s">
        <v>208</v>
      </c>
      <c r="B27" s="135" t="str">
        <f>'Phase 2 CARBOB for PM Flat'!B24</f>
        <v>F</v>
      </c>
      <c r="C27" s="142">
        <f>'Phase 2 CARBOB for PM Flat'!B44</f>
        <v>0</v>
      </c>
      <c r="D27" s="145" t="s">
        <v>202</v>
      </c>
      <c r="E27" s="210">
        <f>'Phase 2 PM for (ETOH Min)'!B23</f>
        <v>-1</v>
      </c>
      <c r="F27" s="165"/>
      <c r="G27" s="144">
        <f>'Phase 2 PM for (ETOH Max)'!B23</f>
        <v>-1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2">
      <c r="A28" s="134" t="s">
        <v>209</v>
      </c>
      <c r="B28" s="145" t="s">
        <v>202</v>
      </c>
      <c r="C28" s="145" t="s">
        <v>202</v>
      </c>
      <c r="D28" s="145" t="s">
        <v>202</v>
      </c>
      <c r="E28" s="209">
        <f>'Phase 2 CARBOB for PM Flat'!L47</f>
        <v>5.7</v>
      </c>
      <c r="F28" s="165"/>
      <c r="G28" s="138">
        <f>'Phase 2 CARBOB for PM Flat'!O47</f>
        <v>5.7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2">
      <c r="A29" s="134" t="s">
        <v>210</v>
      </c>
      <c r="B29" s="145" t="s">
        <v>202</v>
      </c>
      <c r="C29" s="145" t="s">
        <v>202</v>
      </c>
      <c r="D29" s="145" t="s">
        <v>202</v>
      </c>
      <c r="E29" s="211" t="s">
        <v>211</v>
      </c>
      <c r="F29" s="212"/>
      <c r="G29" s="146" t="s">
        <v>212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147"/>
      <c r="B30" s="148"/>
      <c r="C30" s="149"/>
      <c r="D30" s="149"/>
      <c r="E30" s="213">
        <f>'Phase 2 PM for (ETOH Min)'!C27</f>
        <v>1.8</v>
      </c>
      <c r="F30" s="177"/>
      <c r="G30" s="150">
        <f>'Phase 2 PM for (ETOH Min)'!B27</f>
        <v>2.2000000000000002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customHeight="1" x14ac:dyDescent="0.2">
      <c r="A31" s="214"/>
      <c r="B31" s="215"/>
      <c r="C31" s="215"/>
      <c r="D31" s="215"/>
      <c r="E31" s="215"/>
      <c r="F31" s="215"/>
      <c r="G31" s="21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216" t="s">
        <v>213</v>
      </c>
      <c r="B32" s="217"/>
      <c r="C32" s="203" t="s">
        <v>214</v>
      </c>
      <c r="D32" s="204"/>
      <c r="E32" s="204"/>
      <c r="F32" s="204"/>
      <c r="G32" s="20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2">
      <c r="A33" s="218" t="s">
        <v>215</v>
      </c>
      <c r="B33" s="219"/>
      <c r="C33" s="190" t="s">
        <v>216</v>
      </c>
      <c r="D33" s="165"/>
      <c r="E33" s="220" t="s">
        <v>217</v>
      </c>
      <c r="F33" s="221"/>
      <c r="G33" s="22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9.5" customHeight="1" x14ac:dyDescent="0.35">
      <c r="A34" s="174"/>
      <c r="B34" s="165"/>
      <c r="C34" s="151" t="s">
        <v>218</v>
      </c>
      <c r="D34" s="151" t="s">
        <v>219</v>
      </c>
      <c r="E34" s="220" t="s">
        <v>220</v>
      </c>
      <c r="F34" s="207"/>
      <c r="G34" s="152" t="s">
        <v>221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 x14ac:dyDescent="0.2">
      <c r="A35" s="175" t="s">
        <v>222</v>
      </c>
      <c r="B35" s="165"/>
      <c r="C35" s="132">
        <f>'Phase 2 PM for (ETOH Min)'!D67</f>
        <v>9.5787859879186961</v>
      </c>
      <c r="D35" s="132">
        <f>'Phase 2 PM for (ETOH Min)'!D56</f>
        <v>9.5787859879186961</v>
      </c>
      <c r="E35" s="179">
        <f>'Phase 2 PM for (ETOH Max)'!D67</f>
        <v>9.5787859879186961</v>
      </c>
      <c r="F35" s="180"/>
      <c r="G35" s="133">
        <f>'Phase 2 PM for (ETOH Max)'!D56</f>
        <v>9.5787859879186961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 x14ac:dyDescent="0.2">
      <c r="A36" s="175" t="s">
        <v>223</v>
      </c>
      <c r="B36" s="165"/>
      <c r="C36" s="139">
        <f>'Phase 2 PM for (ETOH Min)'!D68</f>
        <v>-15.682751012291714</v>
      </c>
      <c r="D36" s="139">
        <f>'Phase 2 PM for (ETOH Min)'!D57</f>
        <v>-15.6829758532269</v>
      </c>
      <c r="E36" s="181">
        <f>'Phase 2 PM for (ETOH Max)'!D68</f>
        <v>-15.682751012291714</v>
      </c>
      <c r="F36" s="182"/>
      <c r="G36" s="141">
        <f>'Phase 2 PM for (ETOH Max)'!D57</f>
        <v>-15.6829758532269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176" t="s">
        <v>224</v>
      </c>
      <c r="B37" s="177"/>
      <c r="C37" s="153">
        <f>'Phase 2 PM for (ETOH Min)'!D69</f>
        <v>-70.655358198372596</v>
      </c>
      <c r="D37" s="153">
        <f>'Phase 2 PM for (ETOH Min)'!D58</f>
        <v>-70.655358198372596</v>
      </c>
      <c r="E37" s="183">
        <f>'Phase 2 PM for (ETOH Max)'!D69</f>
        <v>-70.655358198372596</v>
      </c>
      <c r="F37" s="184"/>
      <c r="G37" s="154">
        <f>'Phase 2 PM for (ETOH Max)'!D58</f>
        <v>-70.655358198372596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6.5" customHeight="1" x14ac:dyDescent="0.25">
      <c r="A38" s="155" t="s">
        <v>225</v>
      </c>
      <c r="B38" s="156" t="str">
        <f>'Phase 2 CARBOB for PM Flat'!C56</f>
        <v>FAILS</v>
      </c>
      <c r="C38" s="157" t="s">
        <v>226</v>
      </c>
      <c r="D38" s="157"/>
      <c r="E38" s="13"/>
      <c r="F38" s="13"/>
      <c r="G38" s="1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185" t="s">
        <v>227</v>
      </c>
      <c r="B39" s="165"/>
      <c r="C39" s="165"/>
      <c r="D39" s="165"/>
      <c r="E39" s="165"/>
      <c r="F39" s="165"/>
      <c r="G39" s="16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178" t="s">
        <v>228</v>
      </c>
      <c r="B40" s="165"/>
      <c r="C40" s="186" t="str">
        <f>IF($B38="passes","less than or equal to 0.04%","greater than or equal to 0.05%")</f>
        <v>greater than or equal to 0.05%</v>
      </c>
      <c r="D40" s="165"/>
      <c r="E40" s="165"/>
      <c r="F40" s="165"/>
      <c r="G40" s="16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187"/>
      <c r="B41" s="165"/>
      <c r="C41" s="165"/>
      <c r="D41" s="165"/>
      <c r="E41" s="165"/>
      <c r="F41" s="165"/>
      <c r="G41" s="16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155" t="str">
        <f>A1</f>
        <v>REFINERY NAME</v>
      </c>
      <c r="B42" s="188" t="s">
        <v>229</v>
      </c>
      <c r="C42" s="165"/>
      <c r="D42" s="165"/>
      <c r="E42" s="165"/>
      <c r="F42" s="165"/>
      <c r="G42" s="16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185" t="s">
        <v>230</v>
      </c>
      <c r="B43" s="165"/>
      <c r="C43" s="165"/>
      <c r="D43" s="165"/>
      <c r="E43" s="165"/>
      <c r="F43" s="165"/>
      <c r="G43" s="16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223" t="s">
        <v>231</v>
      </c>
      <c r="B44" s="165"/>
      <c r="C44" s="165"/>
      <c r="D44" s="165"/>
      <c r="E44" s="165"/>
      <c r="F44" s="165"/>
      <c r="G44" s="16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6">
    <mergeCell ref="E34:F34"/>
    <mergeCell ref="A43:G43"/>
    <mergeCell ref="A44:G44"/>
    <mergeCell ref="A31:G31"/>
    <mergeCell ref="A32:B32"/>
    <mergeCell ref="C32:G32"/>
    <mergeCell ref="A33:B33"/>
    <mergeCell ref="C33:D33"/>
    <mergeCell ref="E33:G33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C16:G16"/>
    <mergeCell ref="A17:F17"/>
    <mergeCell ref="A18:F18"/>
    <mergeCell ref="E19:G19"/>
    <mergeCell ref="E20:F20"/>
    <mergeCell ref="C13:E13"/>
    <mergeCell ref="F13:G13"/>
    <mergeCell ref="C14:E14"/>
    <mergeCell ref="F14:G14"/>
    <mergeCell ref="C15:E15"/>
    <mergeCell ref="F15:G15"/>
    <mergeCell ref="A41:G41"/>
    <mergeCell ref="B42:G42"/>
    <mergeCell ref="A1:G1"/>
    <mergeCell ref="A2:G2"/>
    <mergeCell ref="A3:G3"/>
    <mergeCell ref="A4:G4"/>
    <mergeCell ref="A5:G5"/>
    <mergeCell ref="A6:G6"/>
    <mergeCell ref="D7:G7"/>
    <mergeCell ref="A8:G8"/>
    <mergeCell ref="B9:C9"/>
    <mergeCell ref="E9:G9"/>
    <mergeCell ref="B10:G10"/>
    <mergeCell ref="A11:G11"/>
    <mergeCell ref="C12:E12"/>
    <mergeCell ref="F12:G12"/>
    <mergeCell ref="E35:F35"/>
    <mergeCell ref="E36:F36"/>
    <mergeCell ref="E37:F37"/>
    <mergeCell ref="A39:G39"/>
    <mergeCell ref="C40:G40"/>
    <mergeCell ref="A34:B34"/>
    <mergeCell ref="A35:B35"/>
    <mergeCell ref="A36:B36"/>
    <mergeCell ref="A37:B37"/>
    <mergeCell ref="A40:B40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2.5703125" defaultRowHeight="15" customHeight="1" x14ac:dyDescent="0.2"/>
  <cols>
    <col min="2" max="2" width="7.140625" customWidth="1"/>
    <col min="3" max="3" width="8" customWidth="1"/>
    <col min="4" max="4" width="9" customWidth="1"/>
    <col min="5" max="5" width="15" customWidth="1"/>
    <col min="6" max="6" width="8" customWidth="1"/>
    <col min="7" max="7" width="8.42578125" customWidth="1"/>
    <col min="8" max="8" width="15" customWidth="1"/>
    <col min="9" max="9" width="7.85546875" customWidth="1"/>
    <col min="10" max="26" width="8" customWidth="1"/>
  </cols>
  <sheetData>
    <row r="1" spans="1:10" ht="12.75" customHeight="1" x14ac:dyDescent="0.2">
      <c r="A1" s="4" t="s">
        <v>232</v>
      </c>
      <c r="B1" s="4"/>
      <c r="C1" s="4"/>
      <c r="D1" s="4"/>
      <c r="E1" s="4"/>
      <c r="F1" s="4"/>
      <c r="G1" s="4"/>
      <c r="H1" s="4"/>
      <c r="I1" s="4"/>
      <c r="J1" s="158"/>
    </row>
    <row r="2" spans="1:10" ht="12.75" customHeight="1" x14ac:dyDescent="0.2">
      <c r="A2" s="4">
        <f>+'PM Flat Batch (Report)'!B12</f>
        <v>0</v>
      </c>
      <c r="B2" s="4">
        <f>'PM Flat Batch (Report)'!B7</f>
        <v>2</v>
      </c>
      <c r="C2" s="4" t="s">
        <v>41</v>
      </c>
      <c r="D2" s="4">
        <f>IF('PM Flat Batch (Report)'!F12=0,'PM Flat Batch (Report)'!F13,'PM Flat Batch (Report)'!F12)</f>
        <v>0</v>
      </c>
      <c r="E2" s="4" t="str">
        <f>TEXT('PM Flat Batch (Report)'!B13,"mmddyyyy")&amp;TEXT('PM Flat Batch (Report)'!B14,"hhmmss")</f>
        <v>01001900000000</v>
      </c>
      <c r="F2" s="4">
        <f>'PM Flat Batch (Report)'!F13</f>
        <v>0</v>
      </c>
      <c r="G2" s="159" t="str">
        <f>IF('PM Flat Batch (Report)'!F15=0,"",'PM Flat Batch (Report)'!F15)</f>
        <v/>
      </c>
      <c r="H2" s="4" t="str">
        <f>IF('PM Flat Batch (Report)'!B15=0,'PM Flat Batch (Data)'!E2,TEXT('PM Flat Batch (Report)'!B15,"mmddyyyy")&amp;TEXT('PM Flat Batch (Report)'!B16,"hhmmss"))</f>
        <v>01001900000000</v>
      </c>
      <c r="I2" s="4">
        <f>+'PM Flat Batch (Report)'!F14</f>
        <v>0</v>
      </c>
    </row>
    <row r="3" spans="1:10" ht="12.75" customHeight="1" x14ac:dyDescent="0.2">
      <c r="A3" s="4" t="s">
        <v>81</v>
      </c>
      <c r="B3" s="160">
        <f>+'PM Flat Batch (Report)'!C21</f>
        <v>0</v>
      </c>
      <c r="C3" s="161" t="str">
        <f>+'PM Flat Batch (Report)'!G17</f>
        <v>N</v>
      </c>
      <c r="D3" s="161"/>
      <c r="E3" s="4"/>
      <c r="F3" s="4"/>
      <c r="G3" s="4"/>
      <c r="H3" s="4"/>
      <c r="I3" s="4"/>
      <c r="J3" s="158"/>
    </row>
    <row r="4" spans="1:10" ht="12.75" customHeight="1" x14ac:dyDescent="0.2">
      <c r="A4" s="4" t="s">
        <v>233</v>
      </c>
      <c r="B4" s="162">
        <f>+'PM Flat Batch (Report)'!C22</f>
        <v>0</v>
      </c>
      <c r="C4" s="161" t="str">
        <f>+'PM Flat Batch (Report)'!B22</f>
        <v>F</v>
      </c>
      <c r="D4" s="4"/>
      <c r="E4" s="4"/>
      <c r="F4" s="4"/>
      <c r="G4" s="4"/>
      <c r="H4" s="4"/>
      <c r="I4" s="4"/>
    </row>
    <row r="5" spans="1:10" ht="12.75" customHeight="1" x14ac:dyDescent="0.2">
      <c r="A5" s="4" t="s">
        <v>234</v>
      </c>
      <c r="B5" s="160">
        <f>+'PM Flat Batch (Report)'!C23</f>
        <v>0</v>
      </c>
      <c r="C5" s="161" t="str">
        <f>+'PM Flat Batch (Report)'!B23</f>
        <v>F</v>
      </c>
      <c r="D5" s="4"/>
      <c r="E5" s="4"/>
      <c r="F5" s="4"/>
      <c r="G5" s="4"/>
      <c r="H5" s="4"/>
      <c r="I5" s="4"/>
    </row>
    <row r="6" spans="1:10" ht="12.75" customHeight="1" x14ac:dyDescent="0.2">
      <c r="A6" s="4" t="s">
        <v>235</v>
      </c>
      <c r="B6" s="162">
        <f>+'PM Flat Batch (Report)'!C24</f>
        <v>0</v>
      </c>
      <c r="C6" s="161" t="str">
        <f>+'PM Flat Batch (Report)'!B24</f>
        <v>F</v>
      </c>
      <c r="D6" s="4"/>
      <c r="E6" s="4"/>
      <c r="F6" s="4"/>
      <c r="G6" s="4"/>
      <c r="H6" s="4"/>
      <c r="I6" s="4"/>
    </row>
    <row r="7" spans="1:10" ht="12.75" customHeight="1" x14ac:dyDescent="0.2">
      <c r="A7" s="4" t="s">
        <v>236</v>
      </c>
      <c r="B7" s="163">
        <f>+'PM Flat Batch (Report)'!C25</f>
        <v>0</v>
      </c>
      <c r="C7" s="161" t="str">
        <f>+'PM Flat Batch (Report)'!B25</f>
        <v>F</v>
      </c>
      <c r="D7" s="4"/>
      <c r="E7" s="4"/>
      <c r="F7" s="4"/>
      <c r="G7" s="4"/>
      <c r="H7" s="4"/>
      <c r="I7" s="4"/>
    </row>
    <row r="8" spans="1:10" ht="12.75" customHeight="1" x14ac:dyDescent="0.2">
      <c r="A8" s="4" t="s">
        <v>18</v>
      </c>
      <c r="B8" s="163">
        <f>+'PM Flat Batch (Report)'!C26</f>
        <v>0</v>
      </c>
      <c r="C8" s="161" t="str">
        <f>+'PM Flat Batch (Report)'!B26</f>
        <v>F</v>
      </c>
      <c r="D8" s="4"/>
      <c r="E8" s="4"/>
      <c r="F8" s="4"/>
      <c r="G8" s="4"/>
      <c r="H8" s="4"/>
      <c r="I8" s="4"/>
    </row>
    <row r="9" spans="1:10" ht="12.75" customHeight="1" x14ac:dyDescent="0.2">
      <c r="A9" s="4" t="s">
        <v>20</v>
      </c>
      <c r="B9" s="163">
        <f>+'PM Flat Batch (Report)'!C27</f>
        <v>0</v>
      </c>
      <c r="C9" s="161" t="str">
        <f>+'PM Flat Batch (Report)'!B27</f>
        <v>F</v>
      </c>
      <c r="D9" s="4"/>
      <c r="E9" s="4"/>
      <c r="F9" s="4"/>
      <c r="G9" s="4"/>
      <c r="H9" s="4"/>
      <c r="I9" s="4"/>
    </row>
    <row r="10" spans="1:10" ht="12.75" customHeight="1" x14ac:dyDescent="0.2">
      <c r="A10" s="4" t="s">
        <v>237</v>
      </c>
      <c r="B10" s="162">
        <f>+'PM Flat Batch (Report)'!E28</f>
        <v>5.7</v>
      </c>
      <c r="C10" s="4"/>
      <c r="D10" s="4"/>
      <c r="E10" s="4"/>
      <c r="F10" s="4"/>
      <c r="G10" s="4"/>
      <c r="H10" s="4"/>
      <c r="I10" s="4"/>
    </row>
    <row r="11" spans="1:10" ht="12.75" customHeight="1" x14ac:dyDescent="0.2">
      <c r="A11" s="4" t="s">
        <v>238</v>
      </c>
      <c r="B11" s="162">
        <f>+'PM Flat Batch (Report)'!G30</f>
        <v>2.2000000000000002</v>
      </c>
      <c r="C11" s="4"/>
      <c r="D11" s="4"/>
      <c r="E11" s="4"/>
      <c r="F11" s="4"/>
      <c r="G11" s="4"/>
      <c r="H11" s="4"/>
      <c r="I11" s="4"/>
    </row>
    <row r="12" spans="1:10" ht="12.75" customHeight="1" x14ac:dyDescent="0.2">
      <c r="A12" s="4" t="s">
        <v>239</v>
      </c>
      <c r="B12" s="162">
        <f>+'PM Flat Batch (Report)'!E30</f>
        <v>1.8</v>
      </c>
      <c r="C12" s="4"/>
      <c r="D12" s="4"/>
      <c r="E12" s="4"/>
      <c r="F12" s="4"/>
      <c r="G12" s="4"/>
      <c r="H12" s="4"/>
      <c r="I12" s="4"/>
    </row>
    <row r="13" spans="1:10" ht="12.75" customHeight="1" x14ac:dyDescent="0.2">
      <c r="A13" s="4" t="s">
        <v>240</v>
      </c>
      <c r="B13" s="162">
        <f>'PM Flat Batch (Report)'!D22</f>
        <v>1.7</v>
      </c>
      <c r="C13" s="4"/>
      <c r="D13" s="4"/>
      <c r="E13" s="4"/>
      <c r="F13" s="4"/>
      <c r="G13" s="4"/>
      <c r="H13" s="4"/>
      <c r="I13" s="4"/>
    </row>
    <row r="14" spans="1:10" ht="12.75" customHeight="1" x14ac:dyDescent="0.2">
      <c r="A14" s="4" t="s">
        <v>241</v>
      </c>
      <c r="B14" s="160">
        <f>'PM Flat Batch (Report)'!D23</f>
        <v>0.06</v>
      </c>
      <c r="C14" s="4"/>
      <c r="D14" s="4"/>
      <c r="E14" s="4"/>
      <c r="F14" s="4"/>
      <c r="G14" s="4"/>
      <c r="H14" s="4"/>
      <c r="I14" s="4"/>
    </row>
    <row r="15" spans="1:10" ht="12.75" customHeight="1" x14ac:dyDescent="0.2">
      <c r="A15" s="4" t="s">
        <v>242</v>
      </c>
      <c r="B15" s="162">
        <f>'PM Flat Batch (Report)'!D24</f>
        <v>0.5</v>
      </c>
      <c r="C15" s="4"/>
      <c r="D15" s="4"/>
      <c r="E15" s="4"/>
      <c r="F15" s="4"/>
      <c r="G15" s="4"/>
      <c r="H15" s="4"/>
      <c r="I15" s="4"/>
    </row>
    <row r="16" spans="1:10" ht="12.75" customHeight="1" x14ac:dyDescent="0.2">
      <c r="A16" s="4" t="s">
        <v>243</v>
      </c>
      <c r="B16" s="163">
        <f>'PM Flat Batch (Report)'!D25</f>
        <v>10</v>
      </c>
      <c r="C16" s="4"/>
      <c r="D16" s="4"/>
      <c r="E16" s="4"/>
      <c r="F16" s="4"/>
      <c r="G16" s="4"/>
      <c r="H16" s="4"/>
      <c r="I16" s="4"/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Phase 2 CARBOB for PM Flat</vt:lpstr>
      <vt:lpstr>Phase 2 PM for (ETOH Min)</vt:lpstr>
      <vt:lpstr>Phase 2 PM for (ETOH Max)</vt:lpstr>
      <vt:lpstr>PM Flat Batch (Report)</vt:lpstr>
      <vt:lpstr>PM Flat Batch (Data)</vt:lpstr>
      <vt:lpstr>'Phase 2 PM for (ETOH Max)'!INPUT</vt:lpstr>
      <vt:lpstr>'Phase 2 PM for (ETOH Min)'!INPUT</vt:lpstr>
      <vt:lpstr>'Phase 2 PM for (ETOH Max)'!OUTPUT</vt:lpstr>
      <vt:lpstr>'Phase 2 PM for (ETOH Min)'!OUTPUT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Michelle Wilson</cp:lastModifiedBy>
  <dcterms:created xsi:type="dcterms:W3CDTF">1999-10-21T17:19:54Z</dcterms:created>
  <dcterms:modified xsi:type="dcterms:W3CDTF">2023-04-18T22:26:16Z</dcterms:modified>
</cp:coreProperties>
</file>